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Dossier Cyril\Tir à l'arc\Calcul Spine et FOC\"/>
    </mc:Choice>
  </mc:AlternateContent>
  <xr:revisionPtr revIDLastSave="0" documentId="13_ncr:1_{F4A60865-CA63-4277-831B-73995B15E452}" xr6:coauthVersionLast="47" xr6:coauthVersionMax="47" xr10:uidLastSave="{00000000-0000-0000-0000-000000000000}"/>
  <workbookProtection workbookAlgorithmName="SHA-512" workbookHashValue="ef5LUzBQNQ+QvFu9z4fxyNlWYYnRlCfQOvaYcuoE85Dkg93KSUnBXBDLONuG1VIj2AKdNsDwaTR+REw+71+MhA==" workbookSaltValue="gBRlxyVAFlnbqQsqod+8TQ==" workbookSpinCount="100000" lockStructure="1"/>
  <bookViews>
    <workbookView xWindow="-120" yWindow="-120" windowWidth="29040" windowHeight="15840" xr2:uid="{51C79B39-B9BA-4746-B22A-522CD5E275BF}"/>
  </bookViews>
  <sheets>
    <sheet name="Données" sheetId="2" r:id="rId1"/>
    <sheet name="Résultats" sheetId="4" r:id="rId2"/>
    <sheet name="Calcul poids flèche" sheetId="1" r:id="rId3"/>
    <sheet name="Spine" sheetId="3" r:id="rId4"/>
    <sheet name="Divers" sheetId="5" r:id="rId5"/>
  </sheets>
  <definedNames>
    <definedName name="_xlnm.Print_Area" localSheetId="2">'Calcul poids flèche'!$A$1:$V$41</definedName>
    <definedName name="_xlnm.Print_Area" localSheetId="0">Données!$A$1:$M$20</definedName>
    <definedName name="_xlnm.Print_Area" localSheetId="1">Résultats!$A$1:$I$22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4" l="1"/>
  <c r="B17" i="4"/>
  <c r="B16" i="4"/>
  <c r="B15" i="4"/>
  <c r="B12" i="4"/>
  <c r="B11" i="4"/>
  <c r="B10" i="4"/>
  <c r="B9" i="4"/>
  <c r="G17" i="2"/>
  <c r="G15" i="2"/>
  <c r="H8" i="2"/>
  <c r="I8" i="2" s="1"/>
  <c r="D4" i="2"/>
  <c r="K10" i="2"/>
  <c r="L10" i="2" s="1"/>
  <c r="K9" i="2"/>
  <c r="L9" i="2" s="1"/>
  <c r="K8" i="2"/>
  <c r="L8" i="2" s="1"/>
  <c r="H10" i="2"/>
  <c r="I10" i="2" s="1"/>
  <c r="H9" i="2"/>
  <c r="I9" i="2" s="1"/>
  <c r="N40" i="3"/>
  <c r="Q40" i="3" s="1"/>
  <c r="N39" i="3"/>
  <c r="Q39" i="3" s="1"/>
  <c r="N38" i="3"/>
  <c r="Q38" i="3" s="1"/>
  <c r="N37" i="3"/>
  <c r="Q37" i="3" s="1"/>
  <c r="N36" i="3"/>
  <c r="Q36" i="3" s="1"/>
  <c r="N35" i="3"/>
  <c r="Q35" i="3" s="1"/>
  <c r="N34" i="3"/>
  <c r="Q34" i="3" s="1"/>
  <c r="N33" i="3"/>
  <c r="Q33" i="3" s="1"/>
  <c r="N32" i="3"/>
  <c r="Q32" i="3" s="1"/>
  <c r="N31" i="3"/>
  <c r="Q31" i="3" s="1"/>
  <c r="N30" i="3"/>
  <c r="Q30" i="3" s="1"/>
  <c r="N29" i="3"/>
  <c r="Q29" i="3" s="1"/>
  <c r="N28" i="3"/>
  <c r="Q28" i="3" s="1"/>
  <c r="N27" i="3"/>
  <c r="Q27" i="3" s="1"/>
  <c r="N26" i="3"/>
  <c r="Q26" i="3" s="1"/>
  <c r="N25" i="3"/>
  <c r="Q25" i="3" s="1"/>
  <c r="N24" i="3"/>
  <c r="Q24" i="3" s="1"/>
  <c r="N23" i="3"/>
  <c r="Q23" i="3" s="1"/>
  <c r="N22" i="3"/>
  <c r="Q22" i="3" s="1"/>
  <c r="N21" i="3"/>
  <c r="Q21" i="3" s="1"/>
  <c r="N20" i="3"/>
  <c r="Q20" i="3" s="1"/>
  <c r="N19" i="3"/>
  <c r="Q19" i="3" s="1"/>
  <c r="N18" i="3"/>
  <c r="Q18" i="3" s="1"/>
  <c r="N17" i="3"/>
  <c r="Q17" i="3" s="1"/>
  <c r="N16" i="3"/>
  <c r="Q16" i="3" s="1"/>
  <c r="N15" i="3"/>
  <c r="Q15" i="3" s="1"/>
  <c r="N14" i="3"/>
  <c r="Q14" i="3" s="1"/>
  <c r="N13" i="3"/>
  <c r="Q13" i="3" s="1"/>
  <c r="N12" i="3"/>
  <c r="Q12" i="3" s="1"/>
  <c r="N11" i="3"/>
  <c r="Q11" i="3" s="1"/>
  <c r="N10" i="3"/>
  <c r="Q10" i="3" s="1"/>
  <c r="N9" i="3"/>
  <c r="Q9" i="3" s="1"/>
  <c r="N8" i="3"/>
  <c r="Q8" i="3" s="1"/>
  <c r="N7" i="3"/>
  <c r="Q7" i="3" s="1"/>
  <c r="N6" i="3"/>
  <c r="Q6" i="3" s="1"/>
  <c r="N5" i="3"/>
  <c r="Q5" i="3" s="1"/>
  <c r="N4" i="3"/>
  <c r="Q4" i="3" s="1"/>
  <c r="H53" i="3"/>
  <c r="K53" i="3" s="1"/>
  <c r="H52" i="3"/>
  <c r="K52" i="3" s="1"/>
  <c r="H51" i="3"/>
  <c r="K51" i="3" s="1"/>
  <c r="H50" i="3"/>
  <c r="K50" i="3" s="1"/>
  <c r="H49" i="3"/>
  <c r="K49" i="3" s="1"/>
  <c r="H48" i="3"/>
  <c r="K48" i="3" s="1"/>
  <c r="H47" i="3"/>
  <c r="K47" i="3" s="1"/>
  <c r="H46" i="3"/>
  <c r="K46" i="3" s="1"/>
  <c r="H45" i="3"/>
  <c r="K45" i="3" s="1"/>
  <c r="H44" i="3"/>
  <c r="K44" i="3" s="1"/>
  <c r="H43" i="3"/>
  <c r="K43" i="3" s="1"/>
  <c r="H42" i="3"/>
  <c r="K42" i="3" s="1"/>
  <c r="H41" i="3"/>
  <c r="K41" i="3" s="1"/>
  <c r="H40" i="3"/>
  <c r="K40" i="3" s="1"/>
  <c r="H39" i="3"/>
  <c r="K39" i="3" s="1"/>
  <c r="H38" i="3"/>
  <c r="K38" i="3" s="1"/>
  <c r="H37" i="3"/>
  <c r="K37" i="3" s="1"/>
  <c r="H36" i="3"/>
  <c r="K36" i="3" s="1"/>
  <c r="H35" i="3"/>
  <c r="K35" i="3" s="1"/>
  <c r="H34" i="3"/>
  <c r="K34" i="3" s="1"/>
  <c r="H33" i="3"/>
  <c r="K33" i="3" s="1"/>
  <c r="H32" i="3"/>
  <c r="K32" i="3" s="1"/>
  <c r="H31" i="3"/>
  <c r="K31" i="3" s="1"/>
  <c r="H30" i="3"/>
  <c r="K30" i="3" s="1"/>
  <c r="H29" i="3"/>
  <c r="K29" i="3" s="1"/>
  <c r="H28" i="3"/>
  <c r="K28" i="3" s="1"/>
  <c r="H27" i="3"/>
  <c r="K27" i="3" s="1"/>
  <c r="H26" i="3"/>
  <c r="K26" i="3" s="1"/>
  <c r="H25" i="3"/>
  <c r="K25" i="3" s="1"/>
  <c r="H24" i="3"/>
  <c r="K24" i="3" s="1"/>
  <c r="H23" i="3"/>
  <c r="K23" i="3" s="1"/>
  <c r="H22" i="3"/>
  <c r="K22" i="3" s="1"/>
  <c r="H21" i="3"/>
  <c r="K21" i="3" s="1"/>
  <c r="H20" i="3"/>
  <c r="K20" i="3" s="1"/>
  <c r="H19" i="3"/>
  <c r="K19" i="3" s="1"/>
  <c r="H18" i="3"/>
  <c r="K18" i="3" s="1"/>
  <c r="H17" i="3"/>
  <c r="K17" i="3" s="1"/>
  <c r="H16" i="3"/>
  <c r="K16" i="3" s="1"/>
  <c r="H15" i="3"/>
  <c r="K15" i="3" s="1"/>
  <c r="H14" i="3"/>
  <c r="K14" i="3" s="1"/>
  <c r="H13" i="3"/>
  <c r="K13" i="3" s="1"/>
  <c r="H12" i="3"/>
  <c r="K12" i="3" s="1"/>
  <c r="H11" i="3"/>
  <c r="K11" i="3" s="1"/>
  <c r="H10" i="3"/>
  <c r="K10" i="3" s="1"/>
  <c r="H9" i="3"/>
  <c r="K9" i="3" s="1"/>
  <c r="H8" i="3"/>
  <c r="K8" i="3" s="1"/>
  <c r="H7" i="3"/>
  <c r="K7" i="3" s="1"/>
  <c r="H6" i="3"/>
  <c r="K6" i="3" s="1"/>
  <c r="H5" i="3"/>
  <c r="K5" i="3" s="1"/>
  <c r="H4" i="3"/>
  <c r="K4" i="3" s="1"/>
  <c r="D12" i="2"/>
  <c r="D10" i="2"/>
  <c r="D9" i="2"/>
  <c r="D8" i="2"/>
  <c r="D7" i="2"/>
  <c r="D6" i="2"/>
  <c r="Q4" i="1"/>
  <c r="H6" i="4"/>
  <c r="H11" i="4" s="1"/>
  <c r="H17" i="4" s="1"/>
  <c r="G6" i="4"/>
  <c r="G11" i="4" s="1"/>
  <c r="G17" i="4" s="1"/>
  <c r="F6" i="4"/>
  <c r="F11" i="4" s="1"/>
  <c r="F17" i="4" s="1"/>
  <c r="E6" i="4"/>
  <c r="E11" i="4" s="1"/>
  <c r="E17" i="4" s="1"/>
  <c r="D6" i="4"/>
  <c r="D11" i="4" s="1"/>
  <c r="D17" i="4" s="1"/>
  <c r="C6" i="4"/>
  <c r="C9" i="4" s="1"/>
  <c r="C15" i="4" s="1"/>
  <c r="H4" i="4"/>
  <c r="G4" i="4"/>
  <c r="F4" i="4"/>
  <c r="E4" i="4"/>
  <c r="D4" i="4"/>
  <c r="C4" i="4"/>
  <c r="B52" i="3"/>
  <c r="D52" i="3" s="1"/>
  <c r="B51" i="3"/>
  <c r="D51" i="3" s="1"/>
  <c r="B50" i="3"/>
  <c r="D50" i="3" s="1"/>
  <c r="B49" i="3"/>
  <c r="D49" i="3" s="1"/>
  <c r="B48" i="3"/>
  <c r="D48" i="3" s="1"/>
  <c r="B47" i="3"/>
  <c r="D47" i="3" s="1"/>
  <c r="B46" i="3"/>
  <c r="D46" i="3" s="1"/>
  <c r="B45" i="3"/>
  <c r="D45" i="3" s="1"/>
  <c r="B44" i="3"/>
  <c r="D44" i="3" s="1"/>
  <c r="B43" i="3"/>
  <c r="D43" i="3" s="1"/>
  <c r="B42" i="3"/>
  <c r="D42" i="3" s="1"/>
  <c r="B41" i="3"/>
  <c r="D41" i="3" s="1"/>
  <c r="B40" i="3"/>
  <c r="D40" i="3" s="1"/>
  <c r="B39" i="3"/>
  <c r="D39" i="3" s="1"/>
  <c r="B38" i="3"/>
  <c r="D38" i="3" s="1"/>
  <c r="B37" i="3"/>
  <c r="D37" i="3" s="1"/>
  <c r="B36" i="3"/>
  <c r="D36" i="3" s="1"/>
  <c r="B35" i="3"/>
  <c r="D35" i="3" s="1"/>
  <c r="B34" i="3"/>
  <c r="D34" i="3" s="1"/>
  <c r="B33" i="3"/>
  <c r="D33" i="3" s="1"/>
  <c r="B32" i="3"/>
  <c r="D32" i="3" s="1"/>
  <c r="B31" i="3"/>
  <c r="D31" i="3" s="1"/>
  <c r="B30" i="3"/>
  <c r="D30" i="3" s="1"/>
  <c r="B29" i="3"/>
  <c r="D29" i="3" s="1"/>
  <c r="B28" i="3"/>
  <c r="D28" i="3" s="1"/>
  <c r="B27" i="3"/>
  <c r="D27" i="3" s="1"/>
  <c r="B26" i="3"/>
  <c r="D26" i="3" s="1"/>
  <c r="B25" i="3"/>
  <c r="D25" i="3" s="1"/>
  <c r="B24" i="3"/>
  <c r="D24" i="3" s="1"/>
  <c r="B23" i="3"/>
  <c r="D23" i="3" s="1"/>
  <c r="B22" i="3"/>
  <c r="D22" i="3" s="1"/>
  <c r="B21" i="3"/>
  <c r="D21" i="3" s="1"/>
  <c r="B20" i="3"/>
  <c r="D20" i="3" s="1"/>
  <c r="B19" i="3"/>
  <c r="D19" i="3" s="1"/>
  <c r="B18" i="3"/>
  <c r="D18" i="3" s="1"/>
  <c r="B17" i="3"/>
  <c r="D17" i="3" s="1"/>
  <c r="B16" i="3"/>
  <c r="D16" i="3" s="1"/>
  <c r="B15" i="3"/>
  <c r="D15" i="3" s="1"/>
  <c r="B14" i="3"/>
  <c r="D14" i="3" s="1"/>
  <c r="B13" i="3"/>
  <c r="D13" i="3" s="1"/>
  <c r="B12" i="3"/>
  <c r="D12" i="3" s="1"/>
  <c r="B11" i="3"/>
  <c r="D11" i="3" s="1"/>
  <c r="B10" i="3"/>
  <c r="D10" i="3" s="1"/>
  <c r="B9" i="3"/>
  <c r="D9" i="3" s="1"/>
  <c r="B8" i="3"/>
  <c r="D8" i="3" s="1"/>
  <c r="E7" i="3"/>
  <c r="B6" i="3"/>
  <c r="E6" i="3" s="1"/>
  <c r="B5" i="3"/>
  <c r="E5" i="3" s="1"/>
  <c r="B4" i="3"/>
  <c r="E4" i="3" s="1"/>
  <c r="H14" i="2" l="1"/>
  <c r="L16" i="2"/>
  <c r="J16" i="2"/>
  <c r="I16" i="2"/>
  <c r="K16" i="2"/>
  <c r="M16" i="2"/>
  <c r="M32" i="3"/>
  <c r="G5" i="3"/>
  <c r="M7" i="3"/>
  <c r="M36" i="3"/>
  <c r="G9" i="3"/>
  <c r="G48" i="3"/>
  <c r="G51" i="3"/>
  <c r="M19" i="3"/>
  <c r="M17" i="3"/>
  <c r="M34" i="3"/>
  <c r="G13" i="3"/>
  <c r="M11" i="3"/>
  <c r="M27" i="3"/>
  <c r="G21" i="3"/>
  <c r="G32" i="3"/>
  <c r="G35" i="3"/>
  <c r="M9" i="3"/>
  <c r="M25" i="3"/>
  <c r="M31" i="3"/>
  <c r="M33" i="3"/>
  <c r="M35" i="3"/>
  <c r="M37" i="3"/>
  <c r="J39" i="3"/>
  <c r="G25" i="3"/>
  <c r="J35" i="3"/>
  <c r="G40" i="3"/>
  <c r="G49" i="3"/>
  <c r="M15" i="3"/>
  <c r="M23" i="3"/>
  <c r="M39" i="3"/>
  <c r="A10" i="3"/>
  <c r="G17" i="3"/>
  <c r="G20" i="3"/>
  <c r="G29" i="3"/>
  <c r="J31" i="3"/>
  <c r="G36" i="3"/>
  <c r="G39" i="3"/>
  <c r="G44" i="3"/>
  <c r="G52" i="3"/>
  <c r="M5" i="3"/>
  <c r="M13" i="3"/>
  <c r="M21" i="3"/>
  <c r="M29" i="3"/>
  <c r="M38" i="3"/>
  <c r="J7" i="3"/>
  <c r="J23" i="3"/>
  <c r="J27" i="3"/>
  <c r="G4" i="3"/>
  <c r="G8" i="3"/>
  <c r="G12" i="3"/>
  <c r="G16" i="3"/>
  <c r="G24" i="3"/>
  <c r="G28" i="3"/>
  <c r="J44" i="3"/>
  <c r="J52" i="3"/>
  <c r="J11" i="3"/>
  <c r="J15" i="3"/>
  <c r="J19" i="3"/>
  <c r="G7" i="3"/>
  <c r="G11" i="3"/>
  <c r="G15" i="3"/>
  <c r="G19" i="3"/>
  <c r="G23" i="3"/>
  <c r="G27" i="3"/>
  <c r="G33" i="3"/>
  <c r="G37" i="3"/>
  <c r="G41" i="3"/>
  <c r="J43" i="3"/>
  <c r="G45" i="3"/>
  <c r="J47" i="3"/>
  <c r="J51" i="3"/>
  <c r="G53" i="3"/>
  <c r="J6" i="3"/>
  <c r="J10" i="3"/>
  <c r="J14" i="3"/>
  <c r="J18" i="3"/>
  <c r="J22" i="3"/>
  <c r="J26" i="3"/>
  <c r="J30" i="3"/>
  <c r="J34" i="3"/>
  <c r="J38" i="3"/>
  <c r="J42" i="3"/>
  <c r="J46" i="3"/>
  <c r="J50" i="3"/>
  <c r="J5" i="3"/>
  <c r="J9" i="3"/>
  <c r="J13" i="3"/>
  <c r="J17" i="3"/>
  <c r="J21" i="3"/>
  <c r="J25" i="3"/>
  <c r="J29" i="3"/>
  <c r="G31" i="3"/>
  <c r="J33" i="3"/>
  <c r="J37" i="3"/>
  <c r="J41" i="3"/>
  <c r="G43" i="3"/>
  <c r="J45" i="3"/>
  <c r="G47" i="3"/>
  <c r="J49" i="3"/>
  <c r="M4" i="3"/>
  <c r="M6" i="3"/>
  <c r="M8" i="3"/>
  <c r="M10" i="3"/>
  <c r="M12" i="3"/>
  <c r="M14" i="3"/>
  <c r="M16" i="3"/>
  <c r="M18" i="3"/>
  <c r="M20" i="3"/>
  <c r="M22" i="3"/>
  <c r="M24" i="3"/>
  <c r="M26" i="3"/>
  <c r="M28" i="3"/>
  <c r="M30" i="3"/>
  <c r="M40" i="3"/>
  <c r="J4" i="3"/>
  <c r="G6" i="3"/>
  <c r="J8" i="3"/>
  <c r="G10" i="3"/>
  <c r="J12" i="3"/>
  <c r="G14" i="3"/>
  <c r="J16" i="3"/>
  <c r="G18" i="3"/>
  <c r="J20" i="3"/>
  <c r="G22" i="3"/>
  <c r="J24" i="3"/>
  <c r="G26" i="3"/>
  <c r="J28" i="3"/>
  <c r="G30" i="3"/>
  <c r="J32" i="3"/>
  <c r="G34" i="3"/>
  <c r="J36" i="3"/>
  <c r="G38" i="3"/>
  <c r="J40" i="3"/>
  <c r="G42" i="3"/>
  <c r="G46" i="3"/>
  <c r="J48" i="3"/>
  <c r="G50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J53" i="3"/>
  <c r="A42" i="3"/>
  <c r="A14" i="3"/>
  <c r="A46" i="3"/>
  <c r="A49" i="3"/>
  <c r="A30" i="3"/>
  <c r="A41" i="3"/>
  <c r="A22" i="3"/>
  <c r="A38" i="3"/>
  <c r="A26" i="3"/>
  <c r="A29" i="3"/>
  <c r="A50" i="3"/>
  <c r="E37" i="3"/>
  <c r="A5" i="3"/>
  <c r="A18" i="3"/>
  <c r="E29" i="3"/>
  <c r="E49" i="3"/>
  <c r="E9" i="3"/>
  <c r="E17" i="3"/>
  <c r="E25" i="3"/>
  <c r="E45" i="3"/>
  <c r="E33" i="3"/>
  <c r="A9" i="3"/>
  <c r="E13" i="3"/>
  <c r="E21" i="3"/>
  <c r="A34" i="3"/>
  <c r="E41" i="3"/>
  <c r="A4" i="3"/>
  <c r="A6" i="3"/>
  <c r="A13" i="3"/>
  <c r="A17" i="3"/>
  <c r="A21" i="3"/>
  <c r="A25" i="3"/>
  <c r="A33" i="3"/>
  <c r="A37" i="3"/>
  <c r="A45" i="3"/>
  <c r="A11" i="3"/>
  <c r="A15" i="3"/>
  <c r="A19" i="3"/>
  <c r="A23" i="3"/>
  <c r="A27" i="3"/>
  <c r="A31" i="3"/>
  <c r="A35" i="3"/>
  <c r="A39" i="3"/>
  <c r="A43" i="3"/>
  <c r="A47" i="3"/>
  <c r="A51" i="3"/>
  <c r="E8" i="3"/>
  <c r="E12" i="3"/>
  <c r="E16" i="3"/>
  <c r="E20" i="3"/>
  <c r="E24" i="3"/>
  <c r="E28" i="3"/>
  <c r="E32" i="3"/>
  <c r="E36" i="3"/>
  <c r="E40" i="3"/>
  <c r="E44" i="3"/>
  <c r="E48" i="3"/>
  <c r="E52" i="3"/>
  <c r="E11" i="3"/>
  <c r="E15" i="3"/>
  <c r="E19" i="3"/>
  <c r="E23" i="3"/>
  <c r="E27" i="3"/>
  <c r="E31" i="3"/>
  <c r="E35" i="3"/>
  <c r="E39" i="3"/>
  <c r="E43" i="3"/>
  <c r="E47" i="3"/>
  <c r="E51" i="3"/>
  <c r="A8" i="3"/>
  <c r="E10" i="3"/>
  <c r="A12" i="3"/>
  <c r="E14" i="3"/>
  <c r="A16" i="3"/>
  <c r="E18" i="3"/>
  <c r="A20" i="3"/>
  <c r="E22" i="3"/>
  <c r="A24" i="3"/>
  <c r="E26" i="3"/>
  <c r="A28" i="3"/>
  <c r="E30" i="3"/>
  <c r="A32" i="3"/>
  <c r="E34" i="3"/>
  <c r="A36" i="3"/>
  <c r="E38" i="3"/>
  <c r="A40" i="3"/>
  <c r="E42" i="3"/>
  <c r="A44" i="3"/>
  <c r="E46" i="3"/>
  <c r="A48" i="3"/>
  <c r="E50" i="3"/>
  <c r="A52" i="3"/>
  <c r="C11" i="4"/>
  <c r="G9" i="4"/>
  <c r="E9" i="4"/>
  <c r="D9" i="4"/>
  <c r="F9" i="4"/>
  <c r="H9" i="4"/>
  <c r="D5" i="3"/>
  <c r="D4" i="3"/>
  <c r="D6" i="3"/>
  <c r="G15" i="4" l="1"/>
  <c r="L14" i="2"/>
  <c r="L18" i="2" s="1"/>
  <c r="C17" i="4"/>
  <c r="H16" i="2"/>
  <c r="H18" i="2" s="1"/>
  <c r="D15" i="4"/>
  <c r="I14" i="2"/>
  <c r="I18" i="2" s="1"/>
  <c r="H15" i="4"/>
  <c r="M14" i="2"/>
  <c r="M18" i="2" s="1"/>
  <c r="F15" i="4"/>
  <c r="K14" i="2"/>
  <c r="K18" i="2" s="1"/>
  <c r="E15" i="4"/>
  <c r="J14" i="2"/>
  <c r="J18" i="2" s="1"/>
  <c r="Q9" i="1"/>
  <c r="E2" i="1" s="1"/>
  <c r="Q10" i="1"/>
  <c r="F2" i="1" s="1"/>
  <c r="Q11" i="1"/>
  <c r="G2" i="1" s="1"/>
  <c r="Q8" i="1"/>
  <c r="I2" i="1" s="1"/>
  <c r="Q7" i="1"/>
  <c r="D2" i="1" s="1"/>
  <c r="Q2" i="1"/>
  <c r="R2" i="1" s="1"/>
  <c r="C2" i="1" s="1"/>
  <c r="Q3" i="1"/>
  <c r="T3" i="1" s="1"/>
  <c r="O25" i="1"/>
  <c r="O24" i="1"/>
  <c r="O23" i="1"/>
  <c r="T4" i="1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E19" i="4" l="1"/>
  <c r="H19" i="4"/>
  <c r="K2" i="1"/>
  <c r="L2" i="1"/>
  <c r="B3" i="1"/>
  <c r="P23" i="1"/>
  <c r="Q23" i="1" s="1"/>
  <c r="R23" i="1" s="1"/>
  <c r="J2" i="1"/>
  <c r="B23" i="1"/>
  <c r="P24" i="1"/>
  <c r="Q24" i="1" s="1"/>
  <c r="R24" i="1" s="1"/>
  <c r="P25" i="1"/>
  <c r="B6" i="1"/>
  <c r="B14" i="1"/>
  <c r="B22" i="1"/>
  <c r="B2" i="1"/>
  <c r="B9" i="1"/>
  <c r="B17" i="1"/>
  <c r="B10" i="1"/>
  <c r="B18" i="1"/>
  <c r="B5" i="1"/>
  <c r="B13" i="1"/>
  <c r="B21" i="1"/>
  <c r="Q25" i="1"/>
  <c r="R25" i="1" s="1"/>
  <c r="B7" i="1"/>
  <c r="B11" i="1"/>
  <c r="B15" i="1"/>
  <c r="B19" i="1"/>
  <c r="B4" i="1"/>
  <c r="B8" i="1"/>
  <c r="B12" i="1"/>
  <c r="B16" i="1"/>
  <c r="B20" i="1"/>
  <c r="C3" i="1"/>
  <c r="I3" i="1" s="1"/>
  <c r="C23" i="1"/>
  <c r="D23" i="1" s="1"/>
  <c r="E23" i="1" s="1"/>
  <c r="F23" i="1" s="1"/>
  <c r="H23" i="1" s="1"/>
  <c r="C10" i="1"/>
  <c r="D10" i="1" s="1"/>
  <c r="E10" i="1" s="1"/>
  <c r="F10" i="1" s="1"/>
  <c r="C9" i="1"/>
  <c r="D9" i="1" s="1"/>
  <c r="E9" i="1" s="1"/>
  <c r="F9" i="1" s="1"/>
  <c r="A24" i="1"/>
  <c r="C15" i="1"/>
  <c r="C22" i="1"/>
  <c r="C19" i="1"/>
  <c r="C11" i="1"/>
  <c r="C16" i="1"/>
  <c r="C20" i="1"/>
  <c r="I20" i="1" s="1"/>
  <c r="C18" i="1"/>
  <c r="C14" i="1"/>
  <c r="C12" i="1"/>
  <c r="C17" i="1"/>
  <c r="C21" i="1"/>
  <c r="I21" i="1" s="1"/>
  <c r="C13" i="1"/>
  <c r="C7" i="1"/>
  <c r="C6" i="1"/>
  <c r="C4" i="1"/>
  <c r="I4" i="1" s="1"/>
  <c r="J4" i="1" s="1"/>
  <c r="K4" i="1" s="1"/>
  <c r="C8" i="1"/>
  <c r="C5" i="1"/>
  <c r="I5" i="1" s="1"/>
  <c r="J20" i="1" l="1"/>
  <c r="K20" i="1" s="1"/>
  <c r="M20" i="1" s="1"/>
  <c r="J5" i="1"/>
  <c r="K5" i="1" s="1"/>
  <c r="L5" i="1" s="1"/>
  <c r="J3" i="1"/>
  <c r="K3" i="1" s="1"/>
  <c r="M3" i="1" s="1"/>
  <c r="J21" i="1"/>
  <c r="K21" i="1" s="1"/>
  <c r="A25" i="1"/>
  <c r="B25" i="1" s="1"/>
  <c r="B24" i="1"/>
  <c r="D3" i="1"/>
  <c r="E3" i="1" s="1"/>
  <c r="F3" i="1" s="1"/>
  <c r="G3" i="1" s="1"/>
  <c r="H3" i="1" s="1"/>
  <c r="I23" i="1"/>
  <c r="J23" i="1" s="1"/>
  <c r="K23" i="1" s="1"/>
  <c r="M23" i="1" s="1"/>
  <c r="G23" i="1"/>
  <c r="M5" i="1"/>
  <c r="M4" i="1"/>
  <c r="L4" i="1"/>
  <c r="L20" i="1"/>
  <c r="H9" i="1"/>
  <c r="G9" i="1"/>
  <c r="H10" i="1"/>
  <c r="G10" i="1"/>
  <c r="C24" i="1"/>
  <c r="I24" i="1" s="1"/>
  <c r="J24" i="1" s="1"/>
  <c r="K24" i="1" s="1"/>
  <c r="D8" i="1"/>
  <c r="E8" i="1" s="1"/>
  <c r="F8" i="1" s="1"/>
  <c r="G8" i="1" s="1"/>
  <c r="I8" i="1"/>
  <c r="J8" i="1" s="1"/>
  <c r="K8" i="1" s="1"/>
  <c r="D12" i="1"/>
  <c r="E12" i="1" s="1"/>
  <c r="F12" i="1" s="1"/>
  <c r="I12" i="1"/>
  <c r="J12" i="1" s="1"/>
  <c r="K12" i="1" s="1"/>
  <c r="D16" i="1"/>
  <c r="E16" i="1" s="1"/>
  <c r="F16" i="1" s="1"/>
  <c r="I16" i="1"/>
  <c r="J16" i="1" s="1"/>
  <c r="K16" i="1" s="1"/>
  <c r="L16" i="1" s="1"/>
  <c r="I22" i="1"/>
  <c r="J22" i="1" s="1"/>
  <c r="K22" i="1" s="1"/>
  <c r="D22" i="1"/>
  <c r="E22" i="1" s="1"/>
  <c r="F22" i="1" s="1"/>
  <c r="D13" i="1"/>
  <c r="E13" i="1" s="1"/>
  <c r="F13" i="1" s="1"/>
  <c r="I13" i="1"/>
  <c r="J13" i="1" s="1"/>
  <c r="K13" i="1" s="1"/>
  <c r="D14" i="1"/>
  <c r="E14" i="1" s="1"/>
  <c r="F14" i="1" s="1"/>
  <c r="I14" i="1"/>
  <c r="J14" i="1" s="1"/>
  <c r="K14" i="1" s="1"/>
  <c r="D11" i="1"/>
  <c r="E11" i="1" s="1"/>
  <c r="F11" i="1" s="1"/>
  <c r="I11" i="1"/>
  <c r="J11" i="1" s="1"/>
  <c r="K11" i="1" s="1"/>
  <c r="D15" i="1"/>
  <c r="E15" i="1" s="1"/>
  <c r="F15" i="1" s="1"/>
  <c r="I15" i="1"/>
  <c r="J15" i="1" s="1"/>
  <c r="K15" i="1" s="1"/>
  <c r="I9" i="1"/>
  <c r="J9" i="1" s="1"/>
  <c r="K9" i="1" s="1"/>
  <c r="D6" i="1"/>
  <c r="E6" i="1" s="1"/>
  <c r="F6" i="1" s="1"/>
  <c r="G6" i="1" s="1"/>
  <c r="I6" i="1"/>
  <c r="J6" i="1" s="1"/>
  <c r="K6" i="1" s="1"/>
  <c r="D18" i="1"/>
  <c r="E18" i="1" s="1"/>
  <c r="F18" i="1" s="1"/>
  <c r="I18" i="1"/>
  <c r="J18" i="1" s="1"/>
  <c r="K18" i="1" s="1"/>
  <c r="D19" i="1"/>
  <c r="E19" i="1" s="1"/>
  <c r="F19" i="1" s="1"/>
  <c r="I19" i="1"/>
  <c r="J19" i="1" s="1"/>
  <c r="K19" i="1" s="1"/>
  <c r="D5" i="1"/>
  <c r="E5" i="1" s="1"/>
  <c r="F5" i="1" s="1"/>
  <c r="G5" i="1" s="1"/>
  <c r="D7" i="1"/>
  <c r="E7" i="1" s="1"/>
  <c r="F7" i="1" s="1"/>
  <c r="G7" i="1" s="1"/>
  <c r="I7" i="1"/>
  <c r="J7" i="1" s="1"/>
  <c r="K7" i="1" s="1"/>
  <c r="D17" i="1"/>
  <c r="E17" i="1" s="1"/>
  <c r="F17" i="1" s="1"/>
  <c r="I17" i="1"/>
  <c r="I10" i="1"/>
  <c r="J10" i="1" s="1"/>
  <c r="K10" i="1" s="1"/>
  <c r="D21" i="1"/>
  <c r="E21" i="1" s="1"/>
  <c r="F21" i="1" s="1"/>
  <c r="D20" i="1"/>
  <c r="E20" i="1" s="1"/>
  <c r="F20" i="1" s="1"/>
  <c r="D4" i="1"/>
  <c r="E4" i="1" s="1"/>
  <c r="F4" i="1" s="1"/>
  <c r="C25" i="1" l="1"/>
  <c r="D25" i="1" s="1"/>
  <c r="E25" i="1" s="1"/>
  <c r="F25" i="1" s="1"/>
  <c r="A26" i="1"/>
  <c r="B26" i="1" s="1"/>
  <c r="L3" i="1"/>
  <c r="M21" i="1"/>
  <c r="L21" i="1"/>
  <c r="J17" i="1"/>
  <c r="K17" i="1" s="1"/>
  <c r="L23" i="1"/>
  <c r="H21" i="1"/>
  <c r="G21" i="1"/>
  <c r="M7" i="1"/>
  <c r="L7" i="1"/>
  <c r="H19" i="1"/>
  <c r="G19" i="1"/>
  <c r="M11" i="1"/>
  <c r="L11" i="1"/>
  <c r="L13" i="1" s="1"/>
  <c r="M13" i="1"/>
  <c r="M16" i="1"/>
  <c r="M8" i="1"/>
  <c r="L8" i="1"/>
  <c r="M24" i="1"/>
  <c r="L24" i="1"/>
  <c r="M10" i="1"/>
  <c r="L10" i="1"/>
  <c r="M18" i="1"/>
  <c r="L18" i="1"/>
  <c r="M9" i="1"/>
  <c r="L9" i="1"/>
  <c r="H11" i="1"/>
  <c r="G11" i="1"/>
  <c r="H13" i="1"/>
  <c r="G13" i="1"/>
  <c r="H16" i="1"/>
  <c r="G16" i="1"/>
  <c r="M15" i="1"/>
  <c r="L15" i="1"/>
  <c r="H22" i="1"/>
  <c r="G22" i="1"/>
  <c r="M12" i="1"/>
  <c r="L12" i="1"/>
  <c r="G4" i="1"/>
  <c r="H4" i="1"/>
  <c r="H18" i="1"/>
  <c r="G18" i="1"/>
  <c r="M14" i="1"/>
  <c r="L14" i="1"/>
  <c r="H20" i="1"/>
  <c r="G20" i="1"/>
  <c r="H17" i="1"/>
  <c r="G17" i="1"/>
  <c r="M19" i="1"/>
  <c r="L19" i="1"/>
  <c r="M6" i="1"/>
  <c r="L6" i="1"/>
  <c r="H15" i="1"/>
  <c r="G15" i="1"/>
  <c r="H14" i="1"/>
  <c r="G14" i="1"/>
  <c r="M22" i="1"/>
  <c r="L22" i="1"/>
  <c r="H12" i="1"/>
  <c r="G12" i="1"/>
  <c r="H5" i="1"/>
  <c r="H6" i="1"/>
  <c r="H7" i="1"/>
  <c r="H8" i="1"/>
  <c r="D24" i="1"/>
  <c r="E24" i="1" s="1"/>
  <c r="F24" i="1" s="1"/>
  <c r="C26" i="1" l="1"/>
  <c r="I26" i="1" s="1"/>
  <c r="J26" i="1" s="1"/>
  <c r="K26" i="1" s="1"/>
  <c r="I25" i="1"/>
  <c r="J25" i="1" s="1"/>
  <c r="K25" i="1" s="1"/>
  <c r="L25" i="1" s="1"/>
  <c r="A27" i="1"/>
  <c r="B27" i="1" s="1"/>
  <c r="L17" i="1"/>
  <c r="M17" i="1"/>
  <c r="H25" i="1"/>
  <c r="G25" i="1"/>
  <c r="H24" i="1"/>
  <c r="G24" i="1"/>
  <c r="M25" i="1"/>
  <c r="C27" i="1"/>
  <c r="D26" i="1"/>
  <c r="E26" i="1" s="1"/>
  <c r="F26" i="1" s="1"/>
  <c r="A28" i="1" l="1"/>
  <c r="B28" i="1" s="1"/>
  <c r="H26" i="1"/>
  <c r="G26" i="1"/>
  <c r="M26" i="1"/>
  <c r="L26" i="1"/>
  <c r="I27" i="1"/>
  <c r="J27" i="1" s="1"/>
  <c r="K27" i="1" s="1"/>
  <c r="D27" i="1"/>
  <c r="E27" i="1" s="1"/>
  <c r="F27" i="1" s="1"/>
  <c r="C28" i="1" l="1"/>
  <c r="I28" i="1" s="1"/>
  <c r="J28" i="1" s="1"/>
  <c r="K28" i="1" s="1"/>
  <c r="A29" i="1"/>
  <c r="B29" i="1" s="1"/>
  <c r="H27" i="1"/>
  <c r="G27" i="1"/>
  <c r="M27" i="1"/>
  <c r="L27" i="1"/>
  <c r="D28" i="1" l="1"/>
  <c r="E28" i="1" s="1"/>
  <c r="F28" i="1" s="1"/>
  <c r="H28" i="1" s="1"/>
  <c r="C29" i="1"/>
  <c r="D29" i="1" s="1"/>
  <c r="E29" i="1" s="1"/>
  <c r="F29" i="1" s="1"/>
  <c r="A30" i="1"/>
  <c r="B30" i="1" s="1"/>
  <c r="G28" i="1"/>
  <c r="M28" i="1"/>
  <c r="L28" i="1"/>
  <c r="A31" i="1"/>
  <c r="B31" i="1" s="1"/>
  <c r="C30" i="1"/>
  <c r="I29" i="1" l="1"/>
  <c r="J29" i="1" s="1"/>
  <c r="K29" i="1" s="1"/>
  <c r="M29" i="1" s="1"/>
  <c r="H29" i="1"/>
  <c r="G29" i="1"/>
  <c r="A32" i="1"/>
  <c r="B32" i="1" s="1"/>
  <c r="C31" i="1"/>
  <c r="D30" i="1"/>
  <c r="E30" i="1" s="1"/>
  <c r="F30" i="1" s="1"/>
  <c r="I30" i="1"/>
  <c r="J30" i="1" s="1"/>
  <c r="K30" i="1" s="1"/>
  <c r="L29" i="1" l="1"/>
  <c r="M30" i="1"/>
  <c r="L30" i="1"/>
  <c r="H30" i="1"/>
  <c r="G30" i="1"/>
  <c r="D31" i="1"/>
  <c r="E31" i="1" s="1"/>
  <c r="F31" i="1" s="1"/>
  <c r="I31" i="1"/>
  <c r="J31" i="1" s="1"/>
  <c r="K31" i="1" s="1"/>
  <c r="A33" i="1"/>
  <c r="B33" i="1" s="1"/>
  <c r="C32" i="1"/>
  <c r="M31" i="1" l="1"/>
  <c r="L31" i="1"/>
  <c r="H31" i="1"/>
  <c r="G31" i="1"/>
  <c r="A34" i="1"/>
  <c r="B34" i="1" s="1"/>
  <c r="C33" i="1"/>
  <c r="D32" i="1"/>
  <c r="E32" i="1" s="1"/>
  <c r="F32" i="1" s="1"/>
  <c r="I32" i="1"/>
  <c r="J32" i="1" s="1"/>
  <c r="K32" i="1" s="1"/>
  <c r="M32" i="1" l="1"/>
  <c r="L32" i="1"/>
  <c r="H32" i="1"/>
  <c r="G32" i="1"/>
  <c r="D33" i="1"/>
  <c r="E33" i="1" s="1"/>
  <c r="F33" i="1" s="1"/>
  <c r="I33" i="1"/>
  <c r="J33" i="1" s="1"/>
  <c r="K33" i="1" s="1"/>
  <c r="A35" i="1"/>
  <c r="B35" i="1" s="1"/>
  <c r="C34" i="1"/>
  <c r="M33" i="1" l="1"/>
  <c r="L33" i="1"/>
  <c r="H33" i="1"/>
  <c r="G33" i="1"/>
  <c r="C35" i="1"/>
  <c r="A36" i="1"/>
  <c r="A37" i="1" s="1"/>
  <c r="D34" i="1"/>
  <c r="E34" i="1" s="1"/>
  <c r="F34" i="1" s="1"/>
  <c r="I34" i="1"/>
  <c r="J34" i="1" s="1"/>
  <c r="K34" i="1" s="1"/>
  <c r="C37" i="1" l="1"/>
  <c r="B37" i="1"/>
  <c r="A38" i="1"/>
  <c r="C36" i="1"/>
  <c r="D36" i="1" s="1"/>
  <c r="E36" i="1" s="1"/>
  <c r="F36" i="1" s="1"/>
  <c r="B36" i="1"/>
  <c r="M34" i="1"/>
  <c r="L34" i="1"/>
  <c r="H34" i="1"/>
  <c r="G34" i="1"/>
  <c r="I35" i="1"/>
  <c r="J35" i="1" s="1"/>
  <c r="K35" i="1" s="1"/>
  <c r="D35" i="1"/>
  <c r="E35" i="1" s="1"/>
  <c r="F35" i="1" s="1"/>
  <c r="C38" i="1" l="1"/>
  <c r="B38" i="1"/>
  <c r="A39" i="1"/>
  <c r="I36" i="1"/>
  <c r="J36" i="1" s="1"/>
  <c r="K36" i="1" s="1"/>
  <c r="M36" i="1" s="1"/>
  <c r="D37" i="1"/>
  <c r="E37" i="1" s="1"/>
  <c r="F37" i="1" s="1"/>
  <c r="I37" i="1"/>
  <c r="J37" i="1" s="1"/>
  <c r="K37" i="1" s="1"/>
  <c r="H35" i="1"/>
  <c r="G35" i="1"/>
  <c r="M35" i="1"/>
  <c r="L35" i="1"/>
  <c r="H36" i="1"/>
  <c r="G36" i="1"/>
  <c r="L36" i="1" l="1"/>
  <c r="B39" i="1"/>
  <c r="C39" i="1"/>
  <c r="A40" i="1"/>
  <c r="M37" i="1"/>
  <c r="L37" i="1"/>
  <c r="G37" i="1"/>
  <c r="H37" i="1"/>
  <c r="I38" i="1"/>
  <c r="J38" i="1" s="1"/>
  <c r="K38" i="1" s="1"/>
  <c r="D38" i="1"/>
  <c r="E38" i="1" s="1"/>
  <c r="F38" i="1" s="1"/>
  <c r="M38" i="1" l="1"/>
  <c r="L38" i="1"/>
  <c r="C40" i="1"/>
  <c r="B40" i="1"/>
  <c r="A41" i="1"/>
  <c r="I39" i="1"/>
  <c r="J39" i="1" s="1"/>
  <c r="K39" i="1" s="1"/>
  <c r="D39" i="1"/>
  <c r="E39" i="1" s="1"/>
  <c r="F39" i="1" s="1"/>
  <c r="G38" i="1"/>
  <c r="H38" i="1"/>
  <c r="G39" i="1" l="1"/>
  <c r="H39" i="1"/>
  <c r="I40" i="1"/>
  <c r="J40" i="1" s="1"/>
  <c r="K40" i="1" s="1"/>
  <c r="D40" i="1"/>
  <c r="E40" i="1" s="1"/>
  <c r="F40" i="1" s="1"/>
  <c r="M39" i="1"/>
  <c r="L39" i="1"/>
  <c r="C41" i="1"/>
  <c r="B41" i="1"/>
  <c r="D41" i="1" l="1"/>
  <c r="E41" i="1" s="1"/>
  <c r="F41" i="1" s="1"/>
  <c r="I41" i="1"/>
  <c r="J41" i="1" s="1"/>
  <c r="K41" i="1" s="1"/>
  <c r="H40" i="1"/>
  <c r="G40" i="1"/>
  <c r="M40" i="1"/>
  <c r="L40" i="1"/>
  <c r="M41" i="1" l="1"/>
  <c r="L41" i="1"/>
  <c r="H41" i="1"/>
  <c r="G41" i="1"/>
</calcChain>
</file>

<file path=xl/sharedStrings.xml><?xml version="1.0" encoding="utf-8"?>
<sst xmlns="http://schemas.openxmlformats.org/spreadsheetml/2006/main" count="207" uniqueCount="149">
  <si>
    <t>GPI</t>
  </si>
  <si>
    <t>Pointe
grain</t>
  </si>
  <si>
    <t>encoche
Grain</t>
  </si>
  <si>
    <t>Flèche légere</t>
  </si>
  <si>
    <t>Flèche moyenne</t>
  </si>
  <si>
    <t>Flèche lourde</t>
  </si>
  <si>
    <t>Plumes x 3
4,5'' Grain</t>
  </si>
  <si>
    <t>gramme</t>
  </si>
  <si>
    <t>Poids 
flèche</t>
  </si>
  <si>
    <t>Insert</t>
  </si>
  <si>
    <t>Longueur de flèche</t>
  </si>
  <si>
    <t>cm</t>
  </si>
  <si>
    <t>pouce</t>
  </si>
  <si>
    <t>Poids pointe en grain légère - Régidifie la flèche</t>
  </si>
  <si>
    <t>Poids pointe en grain lourde - Assouplie la flèche</t>
  </si>
  <si>
    <t>Poids 3 plumes 4 pouces naturelles</t>
  </si>
  <si>
    <t>Poids encoche flèche en grain</t>
  </si>
  <si>
    <t>Poids insert pointe en grain</t>
  </si>
  <si>
    <t>Poids élèments
supplémentaires
à prendre en compte</t>
  </si>
  <si>
    <t>Puissance de l'arc en livre</t>
  </si>
  <si>
    <t>Grain Pouce</t>
  </si>
  <si>
    <t>Poids Flèche grain</t>
  </si>
  <si>
    <t>Puissance Arc - Livre</t>
  </si>
  <si>
    <t>Poids Flèche gramme</t>
  </si>
  <si>
    <t>GPI Flèche (Grain Per Inch)</t>
  </si>
  <si>
    <t>1 Inch = 2,54 cm</t>
  </si>
  <si>
    <t>1 livre = 0,453592 kg</t>
  </si>
  <si>
    <t>kg</t>
  </si>
  <si>
    <t>gr</t>
  </si>
  <si>
    <t>Poids tube
flèche grain</t>
  </si>
  <si>
    <t>Poids tube
flèche gr</t>
  </si>
  <si>
    <t>Arc chasse ou Arc droit</t>
  </si>
  <si>
    <t>Grain min</t>
  </si>
  <si>
    <t>Grain moyen</t>
  </si>
  <si>
    <t>Grain max</t>
  </si>
  <si>
    <t>Arc Poulie ou Arc Classique</t>
  </si>
  <si>
    <t>livres</t>
  </si>
  <si>
    <t>Poids moyen
gramme</t>
  </si>
  <si>
    <t>Poids minimum
grain</t>
  </si>
  <si>
    <t>Poids moyen
grain</t>
  </si>
  <si>
    <t>Poids maximum
grain</t>
  </si>
  <si>
    <t>Données d'entrées</t>
  </si>
  <si>
    <t>Poids flèche
moyen en grain</t>
  </si>
  <si>
    <t>GPI flèche
moyen en grain</t>
  </si>
  <si>
    <t>PoGPIids flèche
moyen en grain</t>
  </si>
  <si>
    <t>Moyenne GPI pointes de
100 et 125 grain</t>
  </si>
  <si>
    <t>GPI
Moyen</t>
  </si>
  <si>
    <t>TABLEAU DE DEFLEXIONS, SPINE</t>
  </si>
  <si>
    <t>Déflexion en mm</t>
  </si>
  <si>
    <t>Déflexion
en " à 26"</t>
  </si>
  <si>
    <t>SPINE en #</t>
  </si>
  <si>
    <t>ATA
Futs bois</t>
  </si>
  <si>
    <t>ASTM Alu/carbone</t>
  </si>
  <si>
    <t>Futs Alu/carbone</t>
  </si>
  <si>
    <t>Norme ATA (American Taping Association)</t>
  </si>
  <si>
    <t>Déflection des futs bois exprimée en "</t>
  </si>
  <si>
    <t>Mesure entre 2 points distants de 26"</t>
  </si>
  <si>
    <t>Poids de 2# soit 907g au centre du fut</t>
  </si>
  <si>
    <t>Pour les futs bois, un pouce de déformation (déflexion) correspond à 26# de spine</t>
  </si>
  <si>
    <t>Norme ASTM (American Society for Testing and Materials)</t>
  </si>
  <si>
    <t>Déflection des futs alu ou carbone exprimée en 1/1000"</t>
  </si>
  <si>
    <t>Mesure entre 2 points distants de 28"</t>
  </si>
  <si>
    <t>Poids de 1,94# soit 880 g au centre du fut</t>
  </si>
  <si>
    <t>Pour les fûts carbone/alu, un pouce de déformation (déflexion) correspond à 31.5#.</t>
  </si>
  <si>
    <t>ATA X 1212 = ASTM</t>
  </si>
  <si>
    <t>1 / 1212 = 0.00082508 soit 0,82508 / 1000</t>
  </si>
  <si>
    <t>Modification du SPINE d'un tube</t>
  </si>
  <si>
    <t>Trop raide</t>
  </si>
  <si>
    <t>Trop souple</t>
  </si>
  <si>
    <t>Spine trop élevé</t>
  </si>
  <si>
    <t>Spine trop faible</t>
  </si>
  <si>
    <t>Tube</t>
  </si>
  <si>
    <t>X</t>
  </si>
  <si>
    <t>Augmenter</t>
  </si>
  <si>
    <t>Diminuer</t>
  </si>
  <si>
    <t>Longueur de tube</t>
  </si>
  <si>
    <t>Diminuer/Pin busching</t>
  </si>
  <si>
    <t>Poids de pointe</t>
  </si>
  <si>
    <t>Poides d'insert</t>
  </si>
  <si>
    <t>Puissance arc</t>
  </si>
  <si>
    <t>respectez un minimum de 5 grains par lbs tirés</t>
  </si>
  <si>
    <t>Déflexion en " à 26"</t>
  </si>
  <si>
    <t>Déflexion en 1/1000" à 28"</t>
  </si>
  <si>
    <t>Puissance de l'arc
à l'allonge de l'archère ou archer</t>
  </si>
  <si>
    <t>Poids pointe N°01</t>
  </si>
  <si>
    <t>Poids pointe N°02</t>
  </si>
  <si>
    <t>Poids insert</t>
  </si>
  <si>
    <t>Poids encoche</t>
  </si>
  <si>
    <r>
      <t xml:space="preserve">Poids plumes
</t>
    </r>
    <r>
      <rPr>
        <sz val="8"/>
        <color theme="1"/>
        <rFont val="Calibri"/>
        <family val="2"/>
        <scheme val="minor"/>
      </rPr>
      <t>Poids 3 plumes - 4 pouces naturelles : 9,60</t>
    </r>
  </si>
  <si>
    <t>Allonge de l'archère ou archer</t>
  </si>
  <si>
    <t>Arc bois : Chasse ou Arc droit
Poids total flèche
Tube + pointe + insert + encoche + plumes</t>
  </si>
  <si>
    <t>Arc : Classique ou Poulie
Poids total flèche
Tube + pointe + insert + encoche + plumes</t>
  </si>
  <si>
    <r>
      <t xml:space="preserve">Poids </t>
    </r>
    <r>
      <rPr>
        <sz val="11"/>
        <color rgb="FF00B050"/>
        <rFont val="Calibri"/>
        <family val="2"/>
        <scheme val="minor"/>
      </rPr>
      <t>minimum</t>
    </r>
    <r>
      <rPr>
        <sz val="11"/>
        <color theme="1"/>
        <rFont val="Calibri"/>
        <family val="2"/>
        <scheme val="minor"/>
      </rPr>
      <t xml:space="preserve">
gramme</t>
    </r>
  </si>
  <si>
    <r>
      <t xml:space="preserve">Poids flèche
</t>
    </r>
    <r>
      <rPr>
        <sz val="11"/>
        <color rgb="FF00B050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 xml:space="preserve"> en grain</t>
    </r>
  </si>
  <si>
    <r>
      <t xml:space="preserve">GPI flèche
</t>
    </r>
    <r>
      <rPr>
        <sz val="11"/>
        <color rgb="FF00B050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 xml:space="preserve"> en grain</t>
    </r>
  </si>
  <si>
    <r>
      <t xml:space="preserve">Poids </t>
    </r>
    <r>
      <rPr>
        <sz val="11"/>
        <color rgb="FFFF0000"/>
        <rFont val="Calibri"/>
        <family val="2"/>
        <scheme val="minor"/>
      </rPr>
      <t>maximum</t>
    </r>
    <r>
      <rPr>
        <sz val="11"/>
        <color theme="1"/>
        <rFont val="Calibri"/>
        <family val="2"/>
        <scheme val="minor"/>
      </rPr>
      <t xml:space="preserve">
gramme</t>
    </r>
  </si>
  <si>
    <r>
      <t xml:space="preserve">Poids flèche
</t>
    </r>
    <r>
      <rPr>
        <sz val="11"/>
        <color rgb="FFFF0000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en grain</t>
    </r>
  </si>
  <si>
    <r>
      <t xml:space="preserve">GPI flèche
</t>
    </r>
    <r>
      <rPr>
        <sz val="11"/>
        <color rgb="FFFF0000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en grain</t>
    </r>
  </si>
  <si>
    <t>Calage tableau GPI Flèche</t>
  </si>
  <si>
    <t>SPINE
en #</t>
  </si>
  <si>
    <t>g</t>
  </si>
  <si>
    <t xml:space="preserve">Grain - gr </t>
  </si>
  <si>
    <t>Démarrage Tableau GPI - Grain Per Inch</t>
  </si>
  <si>
    <t>1 fps = 1,097 km/h</t>
  </si>
  <si>
    <t>1 pied = 12 pouces = 0.3048 m</t>
  </si>
  <si>
    <t>1 grain = 0.0648 g
1 gramme = 15.432 grains</t>
  </si>
  <si>
    <t xml:space="preserve">fps =&gt; foot per second
pied par seconde / foot per second </t>
  </si>
  <si>
    <t>Raccourcir par 0,5 cm</t>
  </si>
  <si>
    <t>Futs
bois</t>
  </si>
  <si>
    <t>Flèche
légere</t>
  </si>
  <si>
    <t>Flèche
moyenne</t>
  </si>
  <si>
    <t>Flèche
lourde</t>
  </si>
  <si>
    <t>Arc Chasse ou Arc droit/Longbow
Tube nu à choisir en GPI</t>
  </si>
  <si>
    <t>Arc Classique ou Poulie
Tube nu à choisir en GPI</t>
  </si>
  <si>
    <t>Moyenne
GPI</t>
  </si>
  <si>
    <t>GPI
flèche Légere</t>
  </si>
  <si>
    <t>Arc Chasse ou Arc droit/Longbow
Poids Flèche par rapport puissance arc</t>
  </si>
  <si>
    <t>Arc Classique ou Poulie
Poids Flèche par rapport puissance arc</t>
  </si>
  <si>
    <t>GPI
flèche moyenne</t>
  </si>
  <si>
    <t>GPI
flèche Lourde</t>
  </si>
  <si>
    <r>
      <rPr>
        <b/>
        <sz val="11"/>
        <color rgb="FFFF0000"/>
        <rFont val="Calibri"/>
        <family val="2"/>
        <scheme val="minor"/>
      </rPr>
      <t>Poids Total
Flèche</t>
    </r>
    <r>
      <rPr>
        <sz val="11"/>
        <color theme="1"/>
        <rFont val="Calibri"/>
        <family val="2"/>
        <scheme val="minor"/>
      </rPr>
      <t xml:space="preserve">
Tube
+ insert
+ pointe
+ encoche
+ plumes</t>
    </r>
  </si>
  <si>
    <t>1 inch = 2,54 cm
livres : lbs : # : 1 lbs  = 0,453 kg</t>
  </si>
  <si>
    <t>Equivalent
kilogramme - kg</t>
  </si>
  <si>
    <t>Equivalent
gramme - g</t>
  </si>
  <si>
    <t>Poids d'arc</t>
  </si>
  <si>
    <t>Nombre de brins (arc classique)</t>
  </si>
  <si>
    <t>Dacron</t>
  </si>
  <si>
    <t>Fast Flight</t>
  </si>
  <si>
    <t>S4</t>
  </si>
  <si>
    <t>BCY 450</t>
  </si>
  <si>
    <t>20 - 25 livres</t>
  </si>
  <si>
    <t>25 - 35 livres</t>
  </si>
  <si>
    <t>35 - 45 libres</t>
  </si>
  <si>
    <t>45 - 55 livres</t>
  </si>
  <si>
    <t>Une bonne longueur de corde dépend de la taille de l'arc.</t>
  </si>
  <si>
    <t>Corde de longueur correcte.</t>
  </si>
  <si>
    <t>La corde est tangente aux courbures de l'arc.</t>
  </si>
  <si>
    <t>Tiller = Tiller Haut - Tiller Bas = entre 5 et 11 = 0.5</t>
  </si>
  <si>
    <t>Tiller = 17,5 - 17 = 0,5 mm bon tiller</t>
  </si>
  <si>
    <t>Exemple :</t>
  </si>
  <si>
    <t>Hauteur de l'arc Band (en cm)</t>
  </si>
  <si>
    <t>64 pouces 19,5  23</t>
  </si>
  <si>
    <t>66 pouces 20  23,5</t>
  </si>
  <si>
    <t>68 pouces 21 à 24</t>
  </si>
  <si>
    <t>70 pouces 21,5 à 25,5</t>
  </si>
  <si>
    <t>71 pouces 23 à 25</t>
  </si>
  <si>
    <t>Le haut du nockset du bas doit être entre 4 et 6 mm</t>
  </si>
  <si>
    <t>Pointe N°01 (gr)</t>
  </si>
  <si>
    <t>Pointe N°02 (gr)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</si>
</sst>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7030A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rgb="FF7030A0"/>
      </right>
      <top style="medium">
        <color auto="1"/>
      </top>
      <bottom style="thin">
        <color auto="1"/>
      </bottom>
      <diagonal/>
    </border>
    <border>
      <left style="thick">
        <color rgb="FF7030A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rgb="FF7030A0"/>
      </right>
      <top style="thin">
        <color auto="1"/>
      </top>
      <bottom style="medium">
        <color auto="1"/>
      </bottom>
      <diagonal/>
    </border>
    <border>
      <left style="thick">
        <color rgb="FF7030A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7030A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7030A0"/>
      </left>
      <right style="thick">
        <color rgb="FF7030A0"/>
      </right>
      <top style="medium">
        <color auto="1"/>
      </top>
      <bottom style="thin">
        <color auto="1"/>
      </bottom>
      <diagonal/>
    </border>
    <border>
      <left style="thick">
        <color rgb="FF7030A0"/>
      </left>
      <right style="thick">
        <color rgb="FF7030A0"/>
      </right>
      <top style="thin">
        <color auto="1"/>
      </top>
      <bottom style="medium">
        <color auto="1"/>
      </bottom>
      <diagonal/>
    </border>
    <border>
      <left style="thick">
        <color rgb="FF7030A0"/>
      </left>
      <right style="thick">
        <color rgb="FF7030A0"/>
      </right>
      <top style="thin">
        <color auto="1"/>
      </top>
      <bottom style="thin">
        <color auto="1"/>
      </bottom>
      <diagonal/>
    </border>
    <border>
      <left/>
      <right style="thick">
        <color rgb="FF7030A0"/>
      </right>
      <top style="medium">
        <color auto="1"/>
      </top>
      <bottom style="thin">
        <color auto="1"/>
      </bottom>
      <diagonal/>
    </border>
    <border>
      <left/>
      <right style="thick">
        <color rgb="FF7030A0"/>
      </right>
      <top style="thin">
        <color auto="1"/>
      </top>
      <bottom style="medium">
        <color auto="1"/>
      </bottom>
      <diagonal/>
    </border>
    <border>
      <left/>
      <right style="thick">
        <color rgb="FF7030A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rgb="FF7030A0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rgb="FF7030A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7030A0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rgb="FF7030A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rgb="FF7030A0"/>
      </right>
      <top/>
      <bottom style="thin">
        <color auto="1"/>
      </bottom>
      <diagonal/>
    </border>
    <border>
      <left/>
      <right style="thick">
        <color rgb="FF7030A0"/>
      </right>
      <top/>
      <bottom style="thin">
        <color auto="1"/>
      </bottom>
      <diagonal/>
    </border>
    <border>
      <left style="thick">
        <color rgb="FF7030A0"/>
      </left>
      <right style="thick">
        <color rgb="FF7030A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rgb="FF7030A0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2" fontId="2" fillId="0" borderId="0" xfId="0" applyNumberFormat="1" applyFont="1" applyAlignment="1">
      <alignment horizontal="center" vertical="center"/>
    </xf>
    <xf numFmtId="4" fontId="4" fillId="6" borderId="5" xfId="0" applyNumberFormat="1" applyFont="1" applyFill="1" applyBorder="1" applyAlignment="1">
      <alignment horizontal="center" vertical="center"/>
    </xf>
    <xf numFmtId="4" fontId="4" fillId="6" borderId="2" xfId="0" applyNumberFormat="1" applyFont="1" applyFill="1" applyBorder="1" applyAlignment="1">
      <alignment horizontal="center" vertical="center"/>
    </xf>
    <xf numFmtId="4" fontId="4" fillId="6" borderId="8" xfId="0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4" fontId="4" fillId="6" borderId="9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2" fontId="2" fillId="8" borderId="32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2" xfId="0" applyFont="1" applyBorder="1"/>
    <xf numFmtId="4" fontId="2" fillId="3" borderId="1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2" fontId="2" fillId="3" borderId="2" xfId="0" applyNumberFormat="1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2" fontId="2" fillId="4" borderId="8" xfId="0" applyNumberFormat="1" applyFont="1" applyFill="1" applyBorder="1"/>
    <xf numFmtId="0" fontId="2" fillId="0" borderId="0" xfId="0" applyFont="1" applyAlignment="1">
      <alignment vertical="center" wrapText="1"/>
    </xf>
    <xf numFmtId="4" fontId="5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/>
    <xf numFmtId="0" fontId="2" fillId="0" borderId="41" xfId="0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2" fontId="4" fillId="5" borderId="7" xfId="0" applyNumberFormat="1" applyFont="1" applyFill="1" applyBorder="1" applyAlignment="1" applyProtection="1">
      <alignment horizontal="center" vertical="center"/>
      <protection hidden="1"/>
    </xf>
    <xf numFmtId="2" fontId="4" fillId="5" borderId="14" xfId="0" applyNumberFormat="1" applyFont="1" applyFill="1" applyBorder="1" applyAlignment="1" applyProtection="1">
      <alignment horizontal="center" vertical="center"/>
      <protection hidden="1"/>
    </xf>
    <xf numFmtId="2" fontId="4" fillId="5" borderId="8" xfId="0" applyNumberFormat="1" applyFont="1" applyFill="1" applyBorder="1" applyAlignment="1" applyProtection="1">
      <alignment horizontal="center" vertical="center"/>
      <protection hidden="1"/>
    </xf>
    <xf numFmtId="2" fontId="5" fillId="3" borderId="26" xfId="0" applyNumberFormat="1" applyFont="1" applyFill="1" applyBorder="1" applyAlignment="1" applyProtection="1">
      <alignment horizontal="center" vertical="center"/>
      <protection hidden="1"/>
    </xf>
    <xf numFmtId="2" fontId="4" fillId="5" borderId="9" xfId="0" applyNumberFormat="1" applyFont="1" applyFill="1" applyBorder="1" applyAlignment="1" applyProtection="1">
      <alignment horizontal="center" vertical="center"/>
      <protection hidden="1"/>
    </xf>
    <xf numFmtId="2" fontId="4" fillId="5" borderId="29" xfId="0" applyNumberFormat="1" applyFont="1" applyFill="1" applyBorder="1" applyAlignment="1" applyProtection="1">
      <alignment horizontal="center" vertical="center"/>
      <protection hidden="1"/>
    </xf>
    <xf numFmtId="2" fontId="5" fillId="8" borderId="33" xfId="0" applyNumberFormat="1" applyFont="1" applyFill="1" applyBorder="1" applyAlignment="1" applyProtection="1">
      <alignment horizontal="center" vertical="center"/>
      <protection hidden="1"/>
    </xf>
    <xf numFmtId="2" fontId="5" fillId="0" borderId="48" xfId="0" applyNumberFormat="1" applyFont="1" applyBorder="1" applyAlignment="1" applyProtection="1">
      <alignment horizontal="center" vertical="center"/>
      <protection hidden="1"/>
    </xf>
    <xf numFmtId="2" fontId="5" fillId="7" borderId="47" xfId="0" applyNumberFormat="1" applyFont="1" applyFill="1" applyBorder="1" applyAlignment="1" applyProtection="1">
      <alignment horizontal="center" vertical="center"/>
      <protection hidden="1"/>
    </xf>
    <xf numFmtId="2" fontId="2" fillId="7" borderId="49" xfId="0" applyNumberFormat="1" applyFont="1" applyFill="1" applyBorder="1" applyAlignment="1" applyProtection="1">
      <alignment horizontal="center" vertical="center"/>
      <protection hidden="1"/>
    </xf>
    <xf numFmtId="2" fontId="2" fillId="0" borderId="50" xfId="0" applyNumberFormat="1" applyFont="1" applyBorder="1" applyAlignment="1" applyProtection="1">
      <alignment horizontal="center" vertical="center"/>
      <protection hidden="1"/>
    </xf>
    <xf numFmtId="2" fontId="2" fillId="0" borderId="51" xfId="0" applyNumberFormat="1" applyFont="1" applyBorder="1" applyAlignment="1" applyProtection="1">
      <alignment horizontal="center" vertical="center"/>
      <protection hidden="1"/>
    </xf>
    <xf numFmtId="2" fontId="2" fillId="0" borderId="52" xfId="0" applyNumberFormat="1" applyFont="1" applyBorder="1" applyAlignment="1" applyProtection="1">
      <alignment horizontal="center" vertical="center"/>
      <protection hidden="1"/>
    </xf>
    <xf numFmtId="2" fontId="2" fillId="0" borderId="53" xfId="0" applyNumberFormat="1" applyFont="1" applyBorder="1" applyAlignment="1" applyProtection="1">
      <alignment horizontal="center" vertical="center"/>
      <protection hidden="1"/>
    </xf>
    <xf numFmtId="2" fontId="2" fillId="3" borderId="54" xfId="0" applyNumberFormat="1" applyFont="1" applyFill="1" applyBorder="1" applyAlignment="1" applyProtection="1">
      <alignment horizontal="center" vertical="center"/>
      <protection hidden="1"/>
    </xf>
    <xf numFmtId="2" fontId="2" fillId="0" borderId="55" xfId="0" applyNumberFormat="1" applyFont="1" applyBorder="1" applyAlignment="1" applyProtection="1">
      <alignment horizontal="center" vertical="center"/>
      <protection hidden="1"/>
    </xf>
    <xf numFmtId="2" fontId="2" fillId="0" borderId="56" xfId="0" applyNumberFormat="1" applyFont="1" applyBorder="1" applyAlignment="1" applyProtection="1">
      <alignment horizontal="center" vertical="center"/>
      <protection hidden="1"/>
    </xf>
    <xf numFmtId="2" fontId="2" fillId="0" borderId="47" xfId="0" applyNumberFormat="1" applyFont="1" applyBorder="1" applyAlignment="1" applyProtection="1">
      <alignment horizontal="center" vertical="center"/>
      <protection hidden="1"/>
    </xf>
    <xf numFmtId="2" fontId="2" fillId="8" borderId="57" xfId="0" applyNumberFormat="1" applyFont="1" applyFill="1" applyBorder="1" applyAlignment="1" applyProtection="1">
      <alignment horizontal="center" vertical="center"/>
      <protection hidden="1"/>
    </xf>
    <xf numFmtId="2" fontId="2" fillId="0" borderId="4" xfId="0" applyNumberFormat="1" applyFont="1" applyBorder="1" applyAlignment="1" applyProtection="1">
      <alignment horizontal="center" vertical="center"/>
      <protection hidden="1"/>
    </xf>
    <xf numFmtId="2" fontId="5" fillId="7" borderId="24" xfId="0" applyNumberFormat="1" applyFont="1" applyFill="1" applyBorder="1" applyAlignment="1" applyProtection="1">
      <alignment horizontal="center" vertical="center"/>
      <protection hidden="1"/>
    </xf>
    <xf numFmtId="2" fontId="2" fillId="7" borderId="12" xfId="0" applyNumberFormat="1" applyFont="1" applyFill="1" applyBorder="1" applyAlignment="1" applyProtection="1">
      <alignment horizontal="center" vertical="center"/>
      <protection hidden="1"/>
    </xf>
    <xf numFmtId="2" fontId="2" fillId="0" borderId="20" xfId="0" applyNumberFormat="1" applyFont="1" applyBorder="1" applyAlignment="1" applyProtection="1">
      <alignment horizontal="center" vertical="center"/>
      <protection hidden="1"/>
    </xf>
    <xf numFmtId="2" fontId="2" fillId="0" borderId="5" xfId="0" applyNumberFormat="1" applyFont="1" applyBorder="1" applyAlignment="1" applyProtection="1">
      <alignment horizontal="center" vertical="center"/>
      <protection hidden="1"/>
    </xf>
    <xf numFmtId="2" fontId="2" fillId="0" borderId="21" xfId="0" applyNumberFormat="1" applyFont="1" applyBorder="1" applyAlignment="1" applyProtection="1">
      <alignment horizontal="center" vertical="center"/>
      <protection hidden="1"/>
    </xf>
    <xf numFmtId="2" fontId="2" fillId="0" borderId="30" xfId="0" applyNumberFormat="1" applyFont="1" applyBorder="1" applyAlignment="1" applyProtection="1">
      <alignment horizontal="center" vertical="center"/>
      <protection hidden="1"/>
    </xf>
    <xf numFmtId="2" fontId="2" fillId="3" borderId="27" xfId="0" applyNumberFormat="1" applyFont="1" applyFill="1" applyBorder="1" applyAlignment="1" applyProtection="1">
      <alignment horizontal="center" vertical="center"/>
      <protection hidden="1"/>
    </xf>
    <xf numFmtId="2" fontId="2" fillId="0" borderId="15" xfId="0" applyNumberFormat="1" applyFont="1" applyBorder="1" applyAlignment="1" applyProtection="1">
      <alignment horizontal="center" vertical="center"/>
      <protection hidden="1"/>
    </xf>
    <xf numFmtId="2" fontId="2" fillId="0" borderId="6" xfId="0" applyNumberFormat="1" applyFont="1" applyBorder="1" applyAlignment="1" applyProtection="1">
      <alignment horizontal="center" vertical="center"/>
      <protection hidden="1"/>
    </xf>
    <xf numFmtId="2" fontId="2" fillId="0" borderId="24" xfId="0" applyNumberFormat="1" applyFont="1" applyBorder="1" applyAlignment="1" applyProtection="1">
      <alignment horizontal="center" vertical="center"/>
      <protection hidden="1"/>
    </xf>
    <xf numFmtId="2" fontId="2" fillId="8" borderId="34" xfId="0" applyNumberFormat="1" applyFont="1" applyFill="1" applyBorder="1" applyAlignment="1" applyProtection="1">
      <alignment horizontal="center" vertical="center"/>
      <protection hidden="1"/>
    </xf>
    <xf numFmtId="2" fontId="5" fillId="0" borderId="4" xfId="0" applyNumberFormat="1" applyFont="1" applyBorder="1" applyAlignment="1" applyProtection="1">
      <alignment horizontal="center" vertical="center"/>
      <protection hidden="1"/>
    </xf>
    <xf numFmtId="2" fontId="5" fillId="7" borderId="12" xfId="0" applyNumberFormat="1" applyFont="1" applyFill="1" applyBorder="1" applyAlignment="1" applyProtection="1">
      <alignment horizontal="center" vertical="center"/>
      <protection hidden="1"/>
    </xf>
    <xf numFmtId="2" fontId="5" fillId="0" borderId="20" xfId="0" applyNumberFormat="1" applyFont="1" applyBorder="1" applyAlignment="1" applyProtection="1">
      <alignment horizontal="center" vertical="center"/>
      <protection hidden="1"/>
    </xf>
    <xf numFmtId="2" fontId="5" fillId="0" borderId="5" xfId="0" applyNumberFormat="1" applyFont="1" applyBorder="1" applyAlignment="1" applyProtection="1">
      <alignment horizontal="center" vertical="center"/>
      <protection hidden="1"/>
    </xf>
    <xf numFmtId="2" fontId="5" fillId="0" borderId="21" xfId="0" applyNumberFormat="1" applyFont="1" applyBorder="1" applyAlignment="1" applyProtection="1">
      <alignment horizontal="center" vertical="center"/>
      <protection hidden="1"/>
    </xf>
    <xf numFmtId="2" fontId="5" fillId="0" borderId="30" xfId="0" applyNumberFormat="1" applyFont="1" applyBorder="1" applyAlignment="1" applyProtection="1">
      <alignment horizontal="center" vertical="center"/>
      <protection hidden="1"/>
    </xf>
    <xf numFmtId="2" fontId="5" fillId="3" borderId="27" xfId="0" applyNumberFormat="1" applyFont="1" applyFill="1" applyBorder="1" applyAlignment="1" applyProtection="1">
      <alignment horizontal="center" vertical="center"/>
      <protection hidden="1"/>
    </xf>
    <xf numFmtId="2" fontId="5" fillId="0" borderId="15" xfId="0" applyNumberFormat="1" applyFont="1" applyBorder="1" applyAlignment="1" applyProtection="1">
      <alignment horizontal="center" vertical="center"/>
      <protection hidden="1"/>
    </xf>
    <xf numFmtId="2" fontId="5" fillId="0" borderId="6" xfId="0" applyNumberFormat="1" applyFont="1" applyBorder="1" applyAlignment="1" applyProtection="1">
      <alignment horizontal="center" vertical="center"/>
      <protection hidden="1"/>
    </xf>
    <xf numFmtId="2" fontId="5" fillId="0" borderId="24" xfId="0" applyNumberFormat="1" applyFont="1" applyBorder="1" applyAlignment="1" applyProtection="1">
      <alignment horizontal="center" vertical="center"/>
      <protection hidden="1"/>
    </xf>
    <xf numFmtId="2" fontId="5" fillId="8" borderId="34" xfId="0" applyNumberFormat="1" applyFont="1" applyFill="1" applyBorder="1" applyAlignment="1" applyProtection="1">
      <alignment horizontal="center" vertical="center"/>
      <protection hidden="1"/>
    </xf>
    <xf numFmtId="2" fontId="2" fillId="7" borderId="24" xfId="0" applyNumberFormat="1" applyFont="1" applyFill="1" applyBorder="1" applyAlignment="1" applyProtection="1">
      <alignment horizontal="center" vertical="center"/>
      <protection hidden="1"/>
    </xf>
    <xf numFmtId="2" fontId="2" fillId="0" borderId="7" xfId="0" applyNumberFormat="1" applyFont="1" applyBorder="1" applyAlignment="1" applyProtection="1">
      <alignment horizontal="center" vertical="center"/>
      <protection hidden="1"/>
    </xf>
    <xf numFmtId="2" fontId="2" fillId="7" borderId="35" xfId="0" applyNumberFormat="1" applyFont="1" applyFill="1" applyBorder="1" applyAlignment="1" applyProtection="1">
      <alignment horizontal="center" vertical="center"/>
      <protection hidden="1"/>
    </xf>
    <xf numFmtId="2" fontId="2" fillId="7" borderId="11" xfId="0" applyNumberFormat="1" applyFont="1" applyFill="1" applyBorder="1" applyAlignment="1" applyProtection="1">
      <alignment horizontal="center" vertical="center"/>
      <protection hidden="1"/>
    </xf>
    <xf numFmtId="2" fontId="2" fillId="0" borderId="18" xfId="0" applyNumberFormat="1" applyFont="1" applyBorder="1" applyAlignment="1" applyProtection="1">
      <alignment horizontal="center" vertical="center"/>
      <protection hidden="1"/>
    </xf>
    <xf numFmtId="2" fontId="2" fillId="0" borderId="8" xfId="0" applyNumberFormat="1" applyFont="1" applyBorder="1" applyAlignment="1" applyProtection="1">
      <alignment horizontal="center" vertical="center"/>
      <protection hidden="1"/>
    </xf>
    <xf numFmtId="2" fontId="2" fillId="0" borderId="19" xfId="0" applyNumberFormat="1" applyFont="1" applyBorder="1" applyAlignment="1" applyProtection="1">
      <alignment horizontal="center" vertical="center"/>
      <protection hidden="1"/>
    </xf>
    <xf numFmtId="2" fontId="2" fillId="0" borderId="29" xfId="0" applyNumberFormat="1" applyFont="1" applyBorder="1" applyAlignment="1" applyProtection="1">
      <alignment horizontal="center" vertical="center"/>
      <protection hidden="1"/>
    </xf>
    <xf numFmtId="2" fontId="2" fillId="3" borderId="26" xfId="0" applyNumberFormat="1" applyFont="1" applyFill="1" applyBorder="1" applyAlignment="1" applyProtection="1">
      <alignment horizontal="center" vertical="center"/>
      <protection hidden="1"/>
    </xf>
    <xf numFmtId="2" fontId="2" fillId="0" borderId="14" xfId="0" applyNumberFormat="1" applyFont="1" applyBorder="1" applyAlignment="1" applyProtection="1">
      <alignment horizontal="center" vertical="center"/>
      <protection hidden="1"/>
    </xf>
    <xf numFmtId="2" fontId="2" fillId="0" borderId="9" xfId="0" applyNumberFormat="1" applyFont="1" applyBorder="1" applyAlignment="1" applyProtection="1">
      <alignment horizontal="center" vertical="center"/>
      <protection hidden="1"/>
    </xf>
    <xf numFmtId="2" fontId="2" fillId="0" borderId="35" xfId="0" applyNumberFormat="1" applyFont="1" applyBorder="1" applyAlignment="1" applyProtection="1">
      <alignment horizontal="center" vertical="center"/>
      <protection hidden="1"/>
    </xf>
    <xf numFmtId="2" fontId="2" fillId="8" borderId="3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3" fontId="4" fillId="6" borderId="2" xfId="0" applyNumberFormat="1" applyFont="1" applyFill="1" applyBorder="1" applyAlignment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2" fontId="0" fillId="9" borderId="63" xfId="0" applyNumberFormat="1" applyFill="1" applyBorder="1" applyAlignment="1">
      <alignment horizontal="center" vertical="center" wrapText="1"/>
    </xf>
    <xf numFmtId="2" fontId="0" fillId="9" borderId="64" xfId="0" applyNumberFormat="1" applyFill="1" applyBorder="1" applyAlignment="1">
      <alignment horizontal="center" vertical="center" wrapText="1"/>
    </xf>
    <xf numFmtId="2" fontId="0" fillId="9" borderId="65" xfId="0" applyNumberForma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4" fontId="6" fillId="11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" fontId="6" fillId="11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/>
    </xf>
    <xf numFmtId="164" fontId="0" fillId="11" borderId="5" xfId="0" applyNumberForma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11" borderId="5" xfId="0" applyNumberFormat="1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1" fontId="9" fillId="11" borderId="5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6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2" fontId="0" fillId="12" borderId="7" xfId="0" applyNumberFormat="1" applyFill="1" applyBorder="1" applyAlignment="1">
      <alignment horizontal="center" vertical="center"/>
    </xf>
    <xf numFmtId="2" fontId="0" fillId="13" borderId="9" xfId="0" applyNumberFormat="1" applyFill="1" applyBorder="1" applyAlignment="1">
      <alignment horizontal="center" vertical="center"/>
    </xf>
    <xf numFmtId="164" fontId="2" fillId="0" borderId="0" xfId="0" applyNumberFormat="1" applyFont="1"/>
    <xf numFmtId="1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6" fillId="0" borderId="5" xfId="0" applyFont="1" applyBorder="1"/>
    <xf numFmtId="0" fontId="0" fillId="0" borderId="24" xfId="0" applyBorder="1"/>
    <xf numFmtId="0" fontId="6" fillId="11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left" vertical="center"/>
    </xf>
    <xf numFmtId="2" fontId="2" fillId="3" borderId="6" xfId="0" applyNumberFormat="1" applyFont="1" applyFill="1" applyBorder="1" applyAlignment="1">
      <alignment horizontal="left" vertical="center"/>
    </xf>
    <xf numFmtId="0" fontId="2" fillId="3" borderId="60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left" vertical="center"/>
    </xf>
    <xf numFmtId="2" fontId="3" fillId="2" borderId="6" xfId="0" applyNumberFormat="1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2" fontId="2" fillId="13" borderId="8" xfId="0" applyNumberFormat="1" applyFont="1" applyFill="1" applyBorder="1" applyAlignment="1">
      <alignment horizontal="right" vertical="center"/>
    </xf>
    <xf numFmtId="2" fontId="2" fillId="13" borderId="9" xfId="0" applyNumberFormat="1" applyFont="1" applyFill="1" applyBorder="1" applyAlignment="1">
      <alignment vertical="center"/>
    </xf>
    <xf numFmtId="0" fontId="2" fillId="13" borderId="80" xfId="0" applyFont="1" applyFill="1" applyBorder="1" applyAlignment="1">
      <alignment horizontal="center" vertical="center" wrapText="1"/>
    </xf>
    <xf numFmtId="2" fontId="2" fillId="13" borderId="7" xfId="0" applyNumberFormat="1" applyFont="1" applyFill="1" applyBorder="1" applyAlignment="1">
      <alignment horizontal="right" vertical="center"/>
    </xf>
    <xf numFmtId="2" fontId="2" fillId="13" borderId="8" xfId="0" applyNumberFormat="1" applyFont="1" applyFill="1" applyBorder="1"/>
    <xf numFmtId="2" fontId="14" fillId="9" borderId="63" xfId="0" applyNumberFormat="1" applyFont="1" applyFill="1" applyBorder="1" applyAlignment="1">
      <alignment horizontal="center" vertical="center" wrapText="1"/>
    </xf>
    <xf numFmtId="2" fontId="13" fillId="9" borderId="64" xfId="0" applyNumberFormat="1" applyFont="1" applyFill="1" applyBorder="1" applyAlignment="1">
      <alignment horizontal="center" vertical="center" wrapText="1"/>
    </xf>
    <xf numFmtId="2" fontId="13" fillId="9" borderId="65" xfId="0" applyNumberFormat="1" applyFont="1" applyFill="1" applyBorder="1" applyAlignment="1">
      <alignment horizontal="center" vertical="center" wrapText="1"/>
    </xf>
    <xf numFmtId="0" fontId="0" fillId="9" borderId="58" xfId="0" applyFill="1" applyBorder="1" applyAlignment="1">
      <alignment horizontal="center" vertical="center" wrapText="1"/>
    </xf>
    <xf numFmtId="2" fontId="0" fillId="12" borderId="63" xfId="0" applyNumberFormat="1" applyFill="1" applyBorder="1" applyAlignment="1">
      <alignment horizontal="center" vertical="center"/>
    </xf>
    <xf numFmtId="2" fontId="0" fillId="2" borderId="64" xfId="0" applyNumberFormat="1" applyFill="1" applyBorder="1" applyAlignment="1">
      <alignment horizontal="center" vertical="center"/>
    </xf>
    <xf numFmtId="2" fontId="0" fillId="13" borderId="65" xfId="0" applyNumberFormat="1" applyFill="1" applyBorder="1" applyAlignment="1">
      <alignment horizontal="center" vertical="center"/>
    </xf>
    <xf numFmtId="2" fontId="0" fillId="0" borderId="11" xfId="0" applyNumberFormat="1" applyBorder="1" applyAlignment="1">
      <alignment vertical="center" wrapText="1"/>
    </xf>
    <xf numFmtId="2" fontId="0" fillId="0" borderId="43" xfId="0" applyNumberFormat="1" applyBorder="1" applyAlignment="1">
      <alignment vertical="center" wrapText="1"/>
    </xf>
    <xf numFmtId="2" fontId="0" fillId="0" borderId="71" xfId="0" applyNumberFormat="1" applyBorder="1" applyAlignment="1">
      <alignment horizontal="center" vertical="center"/>
    </xf>
    <xf numFmtId="0" fontId="0" fillId="0" borderId="46" xfId="0" applyBorder="1" applyAlignment="1">
      <alignment vertical="center"/>
    </xf>
    <xf numFmtId="2" fontId="0" fillId="0" borderId="66" xfId="0" applyNumberForma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2" fontId="0" fillId="0" borderId="81" xfId="0" applyNumberFormat="1" applyBorder="1" applyAlignment="1">
      <alignment horizontal="center" vertical="center"/>
    </xf>
    <xf numFmtId="0" fontId="0" fillId="0" borderId="82" xfId="0" applyBorder="1" applyAlignment="1">
      <alignment horizontal="left" vertical="center"/>
    </xf>
    <xf numFmtId="2" fontId="7" fillId="5" borderId="8" xfId="0" applyNumberFormat="1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2" fontId="7" fillId="5" borderId="6" xfId="0" applyNumberFormat="1" applyFont="1" applyFill="1" applyBorder="1" applyAlignment="1" applyProtection="1">
      <alignment horizontal="center" vertical="center"/>
      <protection locked="0"/>
    </xf>
    <xf numFmtId="2" fontId="7" fillId="5" borderId="62" xfId="0" applyNumberFormat="1" applyFont="1" applyFill="1" applyBorder="1" applyAlignment="1" applyProtection="1">
      <alignment horizontal="center" vertical="center"/>
      <protection locked="0"/>
    </xf>
    <xf numFmtId="2" fontId="7" fillId="5" borderId="9" xfId="0" applyNumberFormat="1" applyFont="1" applyFill="1" applyBorder="1" applyAlignment="1" applyProtection="1">
      <alignment horizontal="center" vertical="center"/>
      <protection locked="0"/>
    </xf>
    <xf numFmtId="0" fontId="16" fillId="0" borderId="83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69" xfId="0" applyBorder="1" applyAlignment="1">
      <alignment horizontal="center" vertical="center" wrapText="1"/>
    </xf>
    <xf numFmtId="0" fontId="0" fillId="10" borderId="59" xfId="0" applyFill="1" applyBorder="1" applyAlignment="1">
      <alignment horizontal="center" vertical="center"/>
    </xf>
    <xf numFmtId="0" fontId="0" fillId="10" borderId="44" xfId="0" applyFill="1" applyBorder="1" applyAlignment="1">
      <alignment horizontal="center" vertical="center"/>
    </xf>
    <xf numFmtId="0" fontId="7" fillId="5" borderId="69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78" xfId="0" applyBorder="1" applyAlignment="1">
      <alignment horizontal="left" vertical="top"/>
    </xf>
    <xf numFmtId="0" fontId="0" fillId="0" borderId="74" xfId="0" applyBorder="1" applyAlignment="1">
      <alignment horizontal="left" vertical="top"/>
    </xf>
    <xf numFmtId="0" fontId="0" fillId="0" borderId="75" xfId="0" applyBorder="1" applyAlignment="1">
      <alignment horizontal="left" vertical="top"/>
    </xf>
    <xf numFmtId="0" fontId="0" fillId="0" borderId="72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5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77" xfId="0" applyBorder="1" applyAlignment="1">
      <alignment horizontal="left" vertical="center" wrapText="1"/>
    </xf>
    <xf numFmtId="0" fontId="0" fillId="0" borderId="73" xfId="0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2" fontId="8" fillId="0" borderId="40" xfId="0" applyNumberFormat="1" applyFont="1" applyBorder="1" applyAlignment="1">
      <alignment horizontal="center" vertical="center"/>
    </xf>
    <xf numFmtId="2" fontId="8" fillId="0" borderId="6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6" fillId="0" borderId="5" xfId="0" applyNumberFormat="1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2" fontId="7" fillId="0" borderId="0" xfId="0" applyNumberFormat="1" applyFont="1" applyFill="1" applyBorder="1" applyAlignment="1" applyProtection="1">
      <alignment horizontal="center" vertical="center"/>
      <protection locked="0"/>
    </xf>
    <xf numFmtId="2" fontId="0" fillId="12" borderId="37" xfId="0" applyNumberFormat="1" applyFill="1" applyBorder="1" applyAlignment="1">
      <alignment horizontal="center" vertical="center"/>
    </xf>
    <xf numFmtId="2" fontId="0" fillId="12" borderId="48" xfId="0" applyNumberFormat="1" applyFill="1" applyBorder="1" applyAlignment="1">
      <alignment horizontal="center" vertical="center"/>
    </xf>
    <xf numFmtId="2" fontId="0" fillId="2" borderId="36" xfId="0" applyNumberFormat="1" applyFill="1" applyBorder="1" applyAlignment="1">
      <alignment horizontal="center" vertical="center"/>
    </xf>
    <xf numFmtId="2" fontId="0" fillId="2" borderId="51" xfId="0" applyNumberFormat="1" applyFill="1" applyBorder="1" applyAlignment="1">
      <alignment horizontal="center" vertical="center"/>
    </xf>
    <xf numFmtId="2" fontId="0" fillId="13" borderId="40" xfId="0" applyNumberFormat="1" applyFill="1" applyBorder="1" applyAlignment="1">
      <alignment horizontal="center" vertical="center"/>
    </xf>
    <xf numFmtId="2" fontId="0" fillId="13" borderId="56" xfId="0" applyNumberFormat="1" applyFill="1" applyBorder="1" applyAlignment="1">
      <alignment horizontal="center" vertical="center"/>
    </xf>
    <xf numFmtId="2" fontId="0" fillId="12" borderId="61" xfId="0" applyNumberFormat="1" applyFill="1" applyBorder="1" applyAlignment="1">
      <alignment horizontal="center" vertical="center"/>
    </xf>
    <xf numFmtId="2" fontId="0" fillId="12" borderId="89" xfId="0" applyNumberFormat="1" applyFill="1" applyBorder="1" applyAlignment="1">
      <alignment horizontal="center" vertical="center"/>
    </xf>
    <xf numFmtId="2" fontId="0" fillId="2" borderId="90" xfId="0" applyNumberFormat="1" applyFill="1" applyBorder="1" applyAlignment="1">
      <alignment horizontal="center" vertical="center"/>
    </xf>
    <xf numFmtId="2" fontId="0" fillId="2" borderId="67" xfId="0" applyNumberFormat="1" applyFill="1" applyBorder="1" applyAlignment="1">
      <alignment horizontal="center" vertical="center"/>
    </xf>
    <xf numFmtId="2" fontId="0" fillId="13" borderId="62" xfId="0" applyNumberFormat="1" applyFill="1" applyBorder="1" applyAlignment="1">
      <alignment horizontal="center" vertical="center"/>
    </xf>
    <xf numFmtId="2" fontId="0" fillId="13" borderId="68" xfId="0" applyNumberFormat="1" applyFill="1" applyBorder="1" applyAlignment="1">
      <alignment horizontal="center" vertical="center"/>
    </xf>
    <xf numFmtId="0" fontId="0" fillId="0" borderId="91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14" borderId="81" xfId="0" applyFill="1" applyBorder="1" applyAlignment="1">
      <alignment horizontal="center" vertical="center" wrapText="1"/>
    </xf>
    <xf numFmtId="0" fontId="0" fillId="14" borderId="93" xfId="0" applyFill="1" applyBorder="1" applyAlignment="1">
      <alignment horizontal="center" vertical="center" wrapText="1"/>
    </xf>
    <xf numFmtId="0" fontId="0" fillId="14" borderId="82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89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67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0" borderId="68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2" fontId="0" fillId="0" borderId="51" xfId="0" applyNumberFormat="1" applyBorder="1" applyAlignment="1">
      <alignment horizontal="center" vertical="center"/>
    </xf>
    <xf numFmtId="2" fontId="0" fillId="12" borderId="55" xfId="0" applyNumberFormat="1" applyFill="1" applyBorder="1" applyAlignment="1">
      <alignment horizontal="center" vertical="center"/>
    </xf>
    <xf numFmtId="2" fontId="0" fillId="12" borderId="94" xfId="0" applyNumberFormat="1" applyFill="1" applyBorder="1" applyAlignment="1">
      <alignment horizontal="center" vertical="center"/>
    </xf>
    <xf numFmtId="2" fontId="0" fillId="12" borderId="42" xfId="0" applyNumberFormat="1" applyFill="1" applyBorder="1" applyAlignment="1">
      <alignment horizontal="center" vertical="center"/>
    </xf>
    <xf numFmtId="2" fontId="0" fillId="0" borderId="90" xfId="0" applyNumberFormat="1" applyBorder="1" applyAlignment="1">
      <alignment horizontal="center" vertical="center"/>
    </xf>
    <xf numFmtId="2" fontId="0" fillId="12" borderId="41" xfId="0" applyNumberForma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580156</xdr:colOff>
      <xdr:row>1</xdr:row>
      <xdr:rowOff>0</xdr:rowOff>
    </xdr:from>
    <xdr:to>
      <xdr:col>10</xdr:col>
      <xdr:colOff>737750</xdr:colOff>
      <xdr:row>27</xdr:row>
      <xdr:rowOff>102594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D3E283B-4AEF-D6A3-D25B-6F93DB207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8506" y="161925"/>
          <a:ext cx="1681594" cy="459839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57150</xdr:rowOff>
    </xdr:from>
    <xdr:to>
      <xdr:col>8</xdr:col>
      <xdr:colOff>533400</xdr:colOff>
      <xdr:row>14</xdr:row>
      <xdr:rowOff>142875</xdr:rowOff>
    </xdr:to>
    <xdr:pic>
      <xdr:nvPicPr>
        <xdr:cNvPr id="2" name="cc-m-imagesubtitle-image-13347248827">
          <a:extLst>
            <a:ext uri="{FF2B5EF4-FFF2-40B4-BE49-F238E27FC236}">
              <a16:creationId xmlns:a16="http://schemas.microsoft.com/office/drawing/2014/main" id="{CE9454E0-93B0-1F44-6482-F78D7CDD3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19075"/>
          <a:ext cx="6191250" cy="230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24</xdr:row>
      <xdr:rowOff>104775</xdr:rowOff>
    </xdr:from>
    <xdr:to>
      <xdr:col>1</xdr:col>
      <xdr:colOff>1046637</xdr:colOff>
      <xdr:row>37</xdr:row>
      <xdr:rowOff>114300</xdr:rowOff>
    </xdr:to>
    <xdr:pic>
      <xdr:nvPicPr>
        <xdr:cNvPr id="3" name="Image 2" descr="Longueur correcte">
          <a:extLst>
            <a:ext uri="{FF2B5EF4-FFF2-40B4-BE49-F238E27FC236}">
              <a16:creationId xmlns:a16="http://schemas.microsoft.com/office/drawing/2014/main" id="{F8A550F7-363C-265C-ECF5-CB85370B1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248150"/>
          <a:ext cx="1113312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14</xdr:col>
      <xdr:colOff>428625</xdr:colOff>
      <xdr:row>23</xdr:row>
      <xdr:rowOff>82950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DCD70BF-7A3C-CC14-18AA-1B251B92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34350" y="2381250"/>
          <a:ext cx="2714625" cy="165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2C68B-7521-4D9A-865E-D04D63E4DF0C}">
  <sheetPr codeName="Feuil2"/>
  <dimension ref="B1:M18"/>
  <sheetViews>
    <sheetView showGridLines="0" showRowColHeaders="0" tabSelected="1" view="pageBreakPreview" zoomScaleNormal="100" zoomScaleSheetLayoutView="100" workbookViewId="0">
      <selection activeCell="C7" sqref="C6:C7"/>
    </sheetView>
  </sheetViews>
  <sheetFormatPr baseColWidth="10" defaultRowHeight="15" x14ac:dyDescent="0.25"/>
  <cols>
    <col min="1" max="1" width="5.5703125" style="108" customWidth="1"/>
    <col min="2" max="2" width="35.140625" style="108" customWidth="1"/>
    <col min="3" max="3" width="5.85546875" style="108" bestFit="1" customWidth="1"/>
    <col min="4" max="4" width="5.5703125" style="108" customWidth="1"/>
    <col min="5" max="5" width="11.42578125" style="108"/>
    <col min="6" max="6" width="7.5703125" style="108" customWidth="1"/>
    <col min="7" max="7" width="15" style="108" bestFit="1" customWidth="1"/>
    <col min="8" max="12" width="13.140625" style="108" customWidth="1"/>
    <col min="13" max="13" width="11.42578125" style="108" bestFit="1" customWidth="1"/>
    <col min="14" max="16384" width="11.42578125" style="108"/>
  </cols>
  <sheetData>
    <row r="1" spans="2:13" ht="15.75" thickBot="1" x14ac:dyDescent="0.3"/>
    <row r="2" spans="2:13" ht="30.75" customHeight="1" thickBot="1" x14ac:dyDescent="0.3">
      <c r="B2" s="203" t="s">
        <v>41</v>
      </c>
      <c r="C2" s="203"/>
      <c r="H2" s="219" t="s">
        <v>105</v>
      </c>
      <c r="I2" s="220"/>
      <c r="J2" s="206" t="s">
        <v>121</v>
      </c>
      <c r="K2" s="207"/>
      <c r="L2" s="208"/>
    </row>
    <row r="3" spans="2:13" ht="30" customHeight="1" x14ac:dyDescent="0.25">
      <c r="B3" s="204" t="s">
        <v>36</v>
      </c>
      <c r="C3" s="205"/>
      <c r="D3" s="221" t="s">
        <v>122</v>
      </c>
      <c r="E3" s="222"/>
      <c r="H3" s="212" t="s">
        <v>103</v>
      </c>
      <c r="I3" s="213"/>
      <c r="J3" s="231" t="s">
        <v>106</v>
      </c>
      <c r="K3" s="232"/>
      <c r="L3" s="233"/>
    </row>
    <row r="4" spans="2:13" ht="30" customHeight="1" thickBot="1" x14ac:dyDescent="0.3">
      <c r="B4" s="144" t="s">
        <v>83</v>
      </c>
      <c r="C4" s="193">
        <v>45</v>
      </c>
      <c r="D4" s="183">
        <f>C4*0.453</f>
        <v>20.385000000000002</v>
      </c>
      <c r="E4" s="184" t="s">
        <v>27</v>
      </c>
      <c r="H4" s="214"/>
      <c r="I4" s="215"/>
      <c r="J4" s="209" t="s">
        <v>104</v>
      </c>
      <c r="K4" s="210"/>
      <c r="L4" s="211"/>
    </row>
    <row r="5" spans="2:13" ht="30" customHeight="1" thickBot="1" x14ac:dyDescent="0.3">
      <c r="B5" s="201" t="s">
        <v>101</v>
      </c>
      <c r="C5" s="202"/>
      <c r="D5" s="229" t="s">
        <v>123</v>
      </c>
      <c r="E5" s="230"/>
      <c r="H5" s="161"/>
      <c r="I5" s="161"/>
      <c r="J5" s="162"/>
      <c r="K5" s="162"/>
      <c r="L5" s="162"/>
    </row>
    <row r="6" spans="2:13" ht="30" customHeight="1" thickBot="1" x14ac:dyDescent="0.3">
      <c r="B6" s="142" t="s">
        <v>84</v>
      </c>
      <c r="C6" s="194">
        <v>100</v>
      </c>
      <c r="D6" s="185">
        <f>C6*'Calcul poids flèche'!O28</f>
        <v>6.479890000000001</v>
      </c>
      <c r="E6" s="186" t="s">
        <v>100</v>
      </c>
      <c r="G6" s="226" t="s">
        <v>116</v>
      </c>
      <c r="H6" s="227"/>
      <c r="I6" s="228"/>
      <c r="K6" s="226" t="s">
        <v>117</v>
      </c>
      <c r="L6" s="227"/>
      <c r="M6" s="228"/>
    </row>
    <row r="7" spans="2:13" ht="30" customHeight="1" thickBot="1" x14ac:dyDescent="0.3">
      <c r="B7" s="142" t="s">
        <v>85</v>
      </c>
      <c r="C7" s="194">
        <v>125</v>
      </c>
      <c r="D7" s="185">
        <f>C7*'Calcul poids flèche'!O28</f>
        <v>8.0998625000000004</v>
      </c>
      <c r="E7" s="186" t="s">
        <v>100</v>
      </c>
      <c r="G7" s="216" t="s">
        <v>120</v>
      </c>
      <c r="H7" s="163" t="s">
        <v>21</v>
      </c>
      <c r="I7" s="152" t="s">
        <v>23</v>
      </c>
      <c r="K7" s="151" t="s">
        <v>21</v>
      </c>
      <c r="L7" s="163" t="s">
        <v>23</v>
      </c>
      <c r="M7" s="223" t="s">
        <v>120</v>
      </c>
    </row>
    <row r="8" spans="2:13" ht="30" customHeight="1" x14ac:dyDescent="0.25">
      <c r="B8" s="142" t="s">
        <v>86</v>
      </c>
      <c r="C8" s="195">
        <v>15.43</v>
      </c>
      <c r="D8" s="185">
        <f>C8*'Calcul poids flèche'!O28</f>
        <v>0.99984702700000005</v>
      </c>
      <c r="E8" s="186" t="s">
        <v>100</v>
      </c>
      <c r="G8" s="217"/>
      <c r="H8" s="164">
        <f>C4*'Calcul poids flèche'!P16</f>
        <v>360</v>
      </c>
      <c r="I8" s="165">
        <f>H8*'Calcul poids flèche'!O28</f>
        <v>23.327604000000001</v>
      </c>
      <c r="J8" s="166" t="s">
        <v>109</v>
      </c>
      <c r="K8" s="167">
        <f>C4*'Calcul poids flèche'!S16</f>
        <v>270</v>
      </c>
      <c r="L8" s="164">
        <f>K8*'Calcul poids flèche'!O28</f>
        <v>17.495703000000002</v>
      </c>
      <c r="M8" s="224"/>
    </row>
    <row r="9" spans="2:13" ht="30" customHeight="1" x14ac:dyDescent="0.25">
      <c r="B9" s="142" t="s">
        <v>87</v>
      </c>
      <c r="C9" s="195">
        <v>9.26</v>
      </c>
      <c r="D9" s="185">
        <f>C9*'Calcul poids flèche'!O28</f>
        <v>0.600037814</v>
      </c>
      <c r="E9" s="186" t="s">
        <v>100</v>
      </c>
      <c r="G9" s="217"/>
      <c r="H9" s="38">
        <f>C4*'Calcul poids flèche'!P17</f>
        <v>405</v>
      </c>
      <c r="I9" s="168">
        <f>H9*'Calcul poids flèche'!O28</f>
        <v>26.243554500000002</v>
      </c>
      <c r="J9" s="169" t="s">
        <v>110</v>
      </c>
      <c r="K9" s="170">
        <f>C4*'Calcul poids flèche'!S17</f>
        <v>315</v>
      </c>
      <c r="L9" s="38">
        <f>K9*'Calcul poids flèche'!O28</f>
        <v>20.411653500000003</v>
      </c>
      <c r="M9" s="224"/>
    </row>
    <row r="10" spans="2:13" ht="30" customHeight="1" thickBot="1" x14ac:dyDescent="0.25">
      <c r="B10" s="143" t="s">
        <v>88</v>
      </c>
      <c r="C10" s="196">
        <v>9.6</v>
      </c>
      <c r="D10" s="187">
        <f>C10*'Calcul poids flèche'!O28</f>
        <v>0.62206944000000008</v>
      </c>
      <c r="E10" s="188" t="s">
        <v>100</v>
      </c>
      <c r="G10" s="218"/>
      <c r="H10" s="171">
        <f>C4*'Calcul poids flèche'!P18</f>
        <v>450</v>
      </c>
      <c r="I10" s="172">
        <f>H10*'Calcul poids flèche'!O28</f>
        <v>29.159505000000003</v>
      </c>
      <c r="J10" s="173" t="s">
        <v>111</v>
      </c>
      <c r="K10" s="174">
        <f>C4*'Calcul poids flèche'!S18</f>
        <v>360</v>
      </c>
      <c r="L10" s="175">
        <f>K10*'Calcul poids flèche'!O28</f>
        <v>23.327604000000001</v>
      </c>
      <c r="M10" s="225"/>
    </row>
    <row r="11" spans="2:13" ht="30" customHeight="1" thickBot="1" x14ac:dyDescent="0.3">
      <c r="B11" s="201" t="s">
        <v>11</v>
      </c>
      <c r="C11" s="202"/>
      <c r="D11" s="189"/>
      <c r="E11" s="190"/>
    </row>
    <row r="12" spans="2:13" ht="30" customHeight="1" thickBot="1" x14ac:dyDescent="0.3">
      <c r="B12" s="144" t="s">
        <v>89</v>
      </c>
      <c r="C12" s="197">
        <v>72</v>
      </c>
      <c r="D12" s="191">
        <f>C12/'Calcul poids flèche'!Q28</f>
        <v>28.346456692913385</v>
      </c>
      <c r="E12" s="192" t="s">
        <v>12</v>
      </c>
      <c r="G12" s="120"/>
      <c r="H12" s="302" t="s">
        <v>112</v>
      </c>
      <c r="I12" s="303"/>
      <c r="J12" s="304"/>
      <c r="K12" s="302" t="s">
        <v>113</v>
      </c>
      <c r="L12" s="303"/>
      <c r="M12" s="304"/>
    </row>
    <row r="13" spans="2:13" ht="30" customHeight="1" thickBot="1" x14ac:dyDescent="0.3">
      <c r="B13" s="201" t="s">
        <v>102</v>
      </c>
      <c r="C13" s="202"/>
      <c r="H13" s="176" t="s">
        <v>115</v>
      </c>
      <c r="I13" s="177" t="s">
        <v>118</v>
      </c>
      <c r="J13" s="178" t="s">
        <v>119</v>
      </c>
      <c r="K13" s="176" t="s">
        <v>115</v>
      </c>
      <c r="L13" s="177" t="s">
        <v>118</v>
      </c>
      <c r="M13" s="178" t="s">
        <v>119</v>
      </c>
    </row>
    <row r="14" spans="2:13" ht="15.75" thickBot="1" x14ac:dyDescent="0.3">
      <c r="B14" s="144" t="s">
        <v>98</v>
      </c>
      <c r="C14" s="197">
        <v>4</v>
      </c>
      <c r="D14" s="161"/>
      <c r="G14" s="200" t="s">
        <v>147</v>
      </c>
      <c r="H14" s="287">
        <f>Résultats!C9/(C12/2.54)</f>
        <v>7.9625472222222227</v>
      </c>
      <c r="I14" s="289">
        <f>Résultats!D9/(C12/2.54)</f>
        <v>9.5500472222222221</v>
      </c>
      <c r="J14" s="291">
        <f>Résultats!E9/(C12/2.54)</f>
        <v>11.137547222222222</v>
      </c>
      <c r="K14" s="287">
        <f>Résultats!F9/(C12/2.54)</f>
        <v>4.7875472222222228</v>
      </c>
      <c r="L14" s="289">
        <f>Résultats!G9/(C12/2.54)</f>
        <v>6.3750472222222223</v>
      </c>
      <c r="M14" s="291">
        <f>Résultats!H9/(C12/2.54)</f>
        <v>7.9625472222222227</v>
      </c>
    </row>
    <row r="15" spans="2:13" x14ac:dyDescent="0.25">
      <c r="B15" s="285"/>
      <c r="C15" s="286"/>
      <c r="D15" s="161"/>
      <c r="G15" s="299">
        <f>C6</f>
        <v>100</v>
      </c>
      <c r="H15" s="288"/>
      <c r="I15" s="290"/>
      <c r="J15" s="292"/>
      <c r="K15" s="288"/>
      <c r="L15" s="290"/>
      <c r="M15" s="292"/>
    </row>
    <row r="16" spans="2:13" x14ac:dyDescent="0.25">
      <c r="G16" s="300" t="s">
        <v>148</v>
      </c>
      <c r="H16" s="293">
        <f>Résultats!C11/(C12/2.54)</f>
        <v>7.080602777777778</v>
      </c>
      <c r="I16" s="295">
        <f>Résultats!D11/(C12/2.54)</f>
        <v>8.6681027777777775</v>
      </c>
      <c r="J16" s="297">
        <f>Résultats!E11/(C12/2.54)</f>
        <v>10.255602777777778</v>
      </c>
      <c r="K16" s="293">
        <f>Résultats!F11/(C12/2.54)</f>
        <v>3.9056027777777778</v>
      </c>
      <c r="L16" s="295">
        <f>Résultats!G11/(C12/2.54)</f>
        <v>5.4931027777777786</v>
      </c>
      <c r="M16" s="297">
        <f>Résultats!H11/(C12/2.54)</f>
        <v>7.080602777777778</v>
      </c>
    </row>
    <row r="17" spans="7:13" ht="15.75" thickBot="1" x14ac:dyDescent="0.3">
      <c r="G17" s="301">
        <f>C7</f>
        <v>125</v>
      </c>
      <c r="H17" s="294"/>
      <c r="I17" s="296"/>
      <c r="J17" s="298"/>
      <c r="K17" s="294"/>
      <c r="L17" s="296"/>
      <c r="M17" s="298"/>
    </row>
    <row r="18" spans="7:13" ht="30.75" thickBot="1" x14ac:dyDescent="0.3">
      <c r="G18" s="179" t="s">
        <v>114</v>
      </c>
      <c r="H18" s="180">
        <f>(H14+H16)/2</f>
        <v>7.5215750000000003</v>
      </c>
      <c r="I18" s="181">
        <f t="shared" ref="I18:M18" si="0">(I14+I16)/2</f>
        <v>9.1090750000000007</v>
      </c>
      <c r="J18" s="182">
        <f t="shared" si="0"/>
        <v>10.696574999999999</v>
      </c>
      <c r="K18" s="180">
        <f t="shared" si="0"/>
        <v>4.3465750000000005</v>
      </c>
      <c r="L18" s="181">
        <f t="shared" si="0"/>
        <v>5.934075</v>
      </c>
      <c r="M18" s="182">
        <f t="shared" si="0"/>
        <v>7.5215750000000003</v>
      </c>
    </row>
  </sheetData>
  <sheetProtection algorithmName="SHA-512" hashValue="B9xjIg56R1n6YWcAkUsD5LT/qKzdzJDR/7yCtRg4Bv2dGBClVkz1pQGvt3UGhGleW9I9mdodxFZo7lwJnARffg==" saltValue="fcsVBns7ITZymOaFzjD4pQ==" spinCount="100000" sheet="1" objects="1" scenarios="1" selectLockedCells="1"/>
  <protectedRanges>
    <protectedRange algorithmName="SHA-512" hashValue="dS9M4/mVZTEgSgGFYGkKX9+a2XCV6wED8zMmhWssV9wTW3IMIxccBg7LDR8WegALJt1beLBBBm4hwaCt2Q8ELA==" saltValue="w067UIZEXUF8bqH9qZsodw==" spinCount="100000" sqref="G14:G17 G12 H13:M17" name="Résultat"/>
    <protectedRange algorithmName="SHA-512" hashValue="dS9M4/mVZTEgSgGFYGkKX9+a2XCV6wED8zMmhWssV9wTW3IMIxccBg7LDR8WegALJt1beLBBBm4hwaCt2Q8ELA==" saltValue="w067UIZEXUF8bqH9qZsodw==" spinCount="100000" sqref="G6:I6 K6:M6 H12:M12" name="Résultat_1"/>
  </protectedRanges>
  <mergeCells count="30">
    <mergeCell ref="H12:J12"/>
    <mergeCell ref="K12:M12"/>
    <mergeCell ref="M14:M15"/>
    <mergeCell ref="H16:H17"/>
    <mergeCell ref="I16:I17"/>
    <mergeCell ref="J16:J17"/>
    <mergeCell ref="K16:K17"/>
    <mergeCell ref="L16:L17"/>
    <mergeCell ref="M16:M17"/>
    <mergeCell ref="H14:H15"/>
    <mergeCell ref="I14:I15"/>
    <mergeCell ref="J14:J15"/>
    <mergeCell ref="K14:K15"/>
    <mergeCell ref="L14:L15"/>
    <mergeCell ref="D3:E3"/>
    <mergeCell ref="M7:M10"/>
    <mergeCell ref="G6:I6"/>
    <mergeCell ref="K6:M6"/>
    <mergeCell ref="D5:E5"/>
    <mergeCell ref="J3:L3"/>
    <mergeCell ref="J2:L2"/>
    <mergeCell ref="J4:L4"/>
    <mergeCell ref="H3:I4"/>
    <mergeCell ref="G7:G10"/>
    <mergeCell ref="H2:I2"/>
    <mergeCell ref="B13:C13"/>
    <mergeCell ref="B11:C11"/>
    <mergeCell ref="B2:C2"/>
    <mergeCell ref="B3:C3"/>
    <mergeCell ref="B5:C5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5" orientation="landscape" r:id="rId1"/>
  <headerFooter>
    <oddHeader>&amp;L&amp;D&amp;CArchers Du Moulon&amp;R&amp;F</oddHeader>
    <oddFooter>&amp;LCyril ANDREINI&amp;C&amp;A&amp;RPage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34C8-4A7E-4DAC-83B5-D773410EDD18}">
  <sheetPr codeName="Feuil3"/>
  <dimension ref="A1:I20"/>
  <sheetViews>
    <sheetView showGridLines="0" showRowColHeaders="0" view="pageBreakPreview" zoomScaleNormal="100" zoomScaleSheetLayoutView="100" workbookViewId="0">
      <selection activeCell="C8" sqref="C8"/>
    </sheetView>
  </sheetViews>
  <sheetFormatPr baseColWidth="10" defaultRowHeight="15" x14ac:dyDescent="0.25"/>
  <cols>
    <col min="1" max="1" width="4.42578125" style="108" customWidth="1"/>
    <col min="2" max="2" width="15.28515625" style="108" bestFit="1" customWidth="1"/>
    <col min="3" max="8" width="15.7109375" style="108" customWidth="1"/>
    <col min="9" max="9" width="4.42578125" style="108" customWidth="1"/>
    <col min="10" max="16384" width="11.42578125" style="108"/>
  </cols>
  <sheetData>
    <row r="1" spans="1:9" ht="15.75" thickBot="1" x14ac:dyDescent="0.3"/>
    <row r="2" spans="1:9" ht="47.25" customHeight="1" x14ac:dyDescent="0.25">
      <c r="C2" s="234" t="s">
        <v>90</v>
      </c>
      <c r="D2" s="235"/>
      <c r="E2" s="236"/>
      <c r="F2" s="234" t="s">
        <v>91</v>
      </c>
      <c r="G2" s="235"/>
      <c r="H2" s="236"/>
    </row>
    <row r="3" spans="1:9" ht="30" customHeight="1" x14ac:dyDescent="0.25">
      <c r="C3" s="114" t="s">
        <v>92</v>
      </c>
      <c r="D3" s="115" t="s">
        <v>37</v>
      </c>
      <c r="E3" s="116" t="s">
        <v>95</v>
      </c>
      <c r="F3" s="114" t="s">
        <v>92</v>
      </c>
      <c r="G3" s="115" t="s">
        <v>37</v>
      </c>
      <c r="H3" s="116" t="s">
        <v>95</v>
      </c>
    </row>
    <row r="4" spans="1:9" ht="30" customHeight="1" thickBot="1" x14ac:dyDescent="0.3">
      <c r="C4" s="147">
        <f>Données!C4*'Calcul poids flèche'!P16*'Calcul poids flèche'!O28</f>
        <v>23.327604000000001</v>
      </c>
      <c r="D4" s="110">
        <f>Données!C4*'Calcul poids flèche'!P17*'Calcul poids flèche'!O28</f>
        <v>26.243554500000002</v>
      </c>
      <c r="E4" s="148">
        <f>Données!C4*'Calcul poids flèche'!P18*'Calcul poids flèche'!O28</f>
        <v>29.159505000000003</v>
      </c>
      <c r="F4" s="147">
        <f>Données!C4*'Calcul poids flèche'!S16*'Calcul poids flèche'!O28</f>
        <v>17.495703000000002</v>
      </c>
      <c r="G4" s="110">
        <f>Données!C4*'Calcul poids flèche'!S17*'Calcul poids flèche'!O28</f>
        <v>20.411653500000003</v>
      </c>
      <c r="H4" s="148">
        <f>Données!C4*'Calcul poids flèche'!S18*'Calcul poids flèche'!O28</f>
        <v>23.327604000000001</v>
      </c>
    </row>
    <row r="5" spans="1:9" ht="30" hidden="1" customHeight="1" x14ac:dyDescent="0.25">
      <c r="C5" s="141" t="s">
        <v>38</v>
      </c>
      <c r="D5" s="145" t="s">
        <v>39</v>
      </c>
      <c r="E5" s="146" t="s">
        <v>40</v>
      </c>
      <c r="F5" s="141" t="s">
        <v>38</v>
      </c>
      <c r="G5" s="145" t="s">
        <v>39</v>
      </c>
      <c r="H5" s="146" t="s">
        <v>40</v>
      </c>
    </row>
    <row r="6" spans="1:9" ht="30" hidden="1" customHeight="1" thickBot="1" x14ac:dyDescent="0.3">
      <c r="C6" s="109">
        <f>Données!C4*'Calcul poids flèche'!P16</f>
        <v>360</v>
      </c>
      <c r="D6" s="110">
        <f>Données!C4*'Calcul poids flèche'!P17</f>
        <v>405</v>
      </c>
      <c r="E6" s="111">
        <f>Données!C4*'Calcul poids flèche'!P18</f>
        <v>450</v>
      </c>
      <c r="F6" s="109">
        <f>Données!C4*'Calcul poids flèche'!S16</f>
        <v>270</v>
      </c>
      <c r="G6" s="110">
        <f>Données!C4*'Calcul poids flèche'!S17</f>
        <v>315</v>
      </c>
      <c r="H6" s="111">
        <f>Données!C4*'Calcul poids flèche'!S18</f>
        <v>360</v>
      </c>
    </row>
    <row r="7" spans="1:9" ht="30" customHeight="1" thickBot="1" x14ac:dyDescent="0.3"/>
    <row r="8" spans="1:9" ht="30" customHeight="1" thickBot="1" x14ac:dyDescent="0.3">
      <c r="B8" s="120"/>
      <c r="C8" s="117" t="s">
        <v>93</v>
      </c>
      <c r="D8" s="118" t="s">
        <v>42</v>
      </c>
      <c r="E8" s="118" t="s">
        <v>96</v>
      </c>
      <c r="F8" s="118" t="s">
        <v>93</v>
      </c>
      <c r="G8" s="118" t="s">
        <v>42</v>
      </c>
      <c r="H8" s="119" t="s">
        <v>96</v>
      </c>
    </row>
    <row r="9" spans="1:9" x14ac:dyDescent="0.25">
      <c r="B9" s="319" t="str">
        <f>Données!G14</f>
        <v>Pointe N°01 (gr)</v>
      </c>
      <c r="C9" s="317">
        <f>C6-Données!C6-Données!C8-Données!C9-Données!C10</f>
        <v>225.71</v>
      </c>
      <c r="D9" s="310">
        <f>D6-Données!C6-Données!C8-Données!C9-Données!C10</f>
        <v>270.70999999999998</v>
      </c>
      <c r="E9" s="313">
        <f>E6-Données!C6-Données!C8-Données!C9-Données!C10</f>
        <v>315.70999999999998</v>
      </c>
      <c r="F9" s="307">
        <f>F6-Données!C6-Données!C8-Données!C9-Données!C10</f>
        <v>135.71</v>
      </c>
      <c r="G9" s="310">
        <f>G6-Données!C6-Données!C8-Données!C9-Données!C10</f>
        <v>180.71</v>
      </c>
      <c r="H9" s="313">
        <f>H6-Données!C6-Données!C8-Données!C9-Données!C10</f>
        <v>225.71</v>
      </c>
    </row>
    <row r="10" spans="1:9" ht="15.75" thickBot="1" x14ac:dyDescent="0.3">
      <c r="B10" s="320">
        <f>Données!G15</f>
        <v>100</v>
      </c>
      <c r="C10" s="318"/>
      <c r="D10" s="311"/>
      <c r="E10" s="314"/>
      <c r="F10" s="308"/>
      <c r="G10" s="311"/>
      <c r="H10" s="314"/>
    </row>
    <row r="11" spans="1:9" x14ac:dyDescent="0.25">
      <c r="A11" s="305"/>
      <c r="B11" s="319" t="str">
        <f>Données!G16</f>
        <v>Pointe N°02 (gr)</v>
      </c>
      <c r="C11" s="309">
        <f>C6-Données!C7-Données!C8-Données!C9-Données!C10</f>
        <v>200.71</v>
      </c>
      <c r="D11" s="309">
        <f>D6-Données!C7-Données!C8-Données!C9-Données!C10</f>
        <v>245.71</v>
      </c>
      <c r="E11" s="312">
        <f>E6-Données!C7-Données!C8-Données!C9-Données!C10</f>
        <v>290.70999999999998</v>
      </c>
      <c r="F11" s="307">
        <f>F6-Données!C7-Données!C8-Données!C9-Données!C10</f>
        <v>110.71</v>
      </c>
      <c r="G11" s="310">
        <f>G6-Données!C7-Données!C8-Données!C9-Données!C10</f>
        <v>155.71</v>
      </c>
      <c r="H11" s="313">
        <f>H6-Données!C7-Données!C8-Données!C9-Données!C10</f>
        <v>200.71</v>
      </c>
      <c r="I11" s="153"/>
    </row>
    <row r="12" spans="1:9" ht="15.75" thickBot="1" x14ac:dyDescent="0.3">
      <c r="A12" s="305"/>
      <c r="B12" s="320">
        <f>Données!G17</f>
        <v>125</v>
      </c>
      <c r="C12" s="315"/>
      <c r="D12" s="315"/>
      <c r="E12" s="316"/>
      <c r="F12" s="308"/>
      <c r="G12" s="311"/>
      <c r="H12" s="314"/>
      <c r="I12" s="153"/>
    </row>
    <row r="13" spans="1:9" ht="30" customHeight="1" thickBot="1" x14ac:dyDescent="0.3">
      <c r="A13" s="305"/>
      <c r="B13" s="305"/>
      <c r="C13" s="306"/>
      <c r="D13" s="306"/>
      <c r="E13" s="306"/>
      <c r="F13" s="306"/>
      <c r="G13" s="306"/>
      <c r="H13" s="306"/>
      <c r="I13" s="153"/>
    </row>
    <row r="14" spans="1:9" ht="30" customHeight="1" thickBot="1" x14ac:dyDescent="0.3">
      <c r="B14" s="120"/>
      <c r="C14" s="117" t="s">
        <v>94</v>
      </c>
      <c r="D14" s="118" t="s">
        <v>43</v>
      </c>
      <c r="E14" s="118" t="s">
        <v>97</v>
      </c>
      <c r="F14" s="118" t="s">
        <v>94</v>
      </c>
      <c r="G14" s="118" t="s">
        <v>44</v>
      </c>
      <c r="H14" s="119" t="s">
        <v>96</v>
      </c>
    </row>
    <row r="15" spans="1:9" x14ac:dyDescent="0.25">
      <c r="B15" s="319" t="str">
        <f>B9</f>
        <v>Pointe N°01 (gr)</v>
      </c>
      <c r="C15" s="326">
        <f>C9/(Données!C12/2.54)</f>
        <v>7.9625472222222227</v>
      </c>
      <c r="D15" s="310">
        <f>D9/(Données!C12/2.54)</f>
        <v>9.5500472222222221</v>
      </c>
      <c r="E15" s="291">
        <f>E9/(Données!C12/2.54)</f>
        <v>11.137547222222222</v>
      </c>
      <c r="F15" s="287">
        <f>F9/(Données!C12/2.54)</f>
        <v>4.7875472222222228</v>
      </c>
      <c r="G15" s="310">
        <f>G9/(Données!C12/2.54)</f>
        <v>6.3750472222222223</v>
      </c>
      <c r="H15" s="291">
        <f>H9/(Données!C12/2.54)</f>
        <v>7.9625472222222227</v>
      </c>
    </row>
    <row r="16" spans="1:9" x14ac:dyDescent="0.25">
      <c r="B16" s="327">
        <f>B10</f>
        <v>100</v>
      </c>
      <c r="C16" s="322"/>
      <c r="D16" s="321"/>
      <c r="E16" s="292"/>
      <c r="F16" s="288"/>
      <c r="G16" s="321"/>
      <c r="H16" s="292"/>
    </row>
    <row r="17" spans="2:8" x14ac:dyDescent="0.25">
      <c r="B17" s="328" t="str">
        <f>B11</f>
        <v>Pointe N°02 (gr)</v>
      </c>
      <c r="C17" s="323">
        <f>C11/(Données!C12/2.54)</f>
        <v>7.080602777777778</v>
      </c>
      <c r="D17" s="325">
        <f>D11/(Données!C12/2.54)</f>
        <v>8.6681027777777775</v>
      </c>
      <c r="E17" s="297">
        <f>E11/(Données!C12/2.54)</f>
        <v>10.255602777777778</v>
      </c>
      <c r="F17" s="293">
        <f>F11/(Données!C12/2.54)</f>
        <v>3.9056027777777778</v>
      </c>
      <c r="G17" s="325">
        <f>G11/(Données!C12/2.54)</f>
        <v>5.4931027777777786</v>
      </c>
      <c r="H17" s="297">
        <f>H11/(Données!C12/2.54)</f>
        <v>7.080602777777778</v>
      </c>
    </row>
    <row r="18" spans="2:8" ht="15.75" thickBot="1" x14ac:dyDescent="0.3">
      <c r="B18" s="320">
        <f>B12</f>
        <v>125</v>
      </c>
      <c r="C18" s="324"/>
      <c r="D18" s="311"/>
      <c r="E18" s="298"/>
      <c r="F18" s="294"/>
      <c r="G18" s="311"/>
      <c r="H18" s="298"/>
    </row>
    <row r="19" spans="2:8" x14ac:dyDescent="0.25">
      <c r="B19" s="237" t="s">
        <v>46</v>
      </c>
      <c r="C19" s="239" t="s">
        <v>45</v>
      </c>
      <c r="D19" s="240"/>
      <c r="E19" s="243">
        <f>(C15+D15+E15+C17+D17+E17)/6</f>
        <v>9.1090749999999989</v>
      </c>
      <c r="F19" s="239" t="s">
        <v>45</v>
      </c>
      <c r="G19" s="240"/>
      <c r="H19" s="243">
        <f>(F15+G15+H15+F17+G17+H17)/6</f>
        <v>5.934075</v>
      </c>
    </row>
    <row r="20" spans="2:8" ht="15.75" thickBot="1" x14ac:dyDescent="0.3">
      <c r="B20" s="238"/>
      <c r="C20" s="241"/>
      <c r="D20" s="242"/>
      <c r="E20" s="244"/>
      <c r="F20" s="241"/>
      <c r="G20" s="242"/>
      <c r="H20" s="244"/>
    </row>
  </sheetData>
  <sheetProtection algorithmName="SHA-512" hashValue="GqB4OTIlN4v7S87dz9wAah2Q68Xka+HyEKrmXRxCmsvUPH2ZkJmtf2sy9Qx72SjgqPg83G8UkQeiSFSgNz3U0Q==" saltValue="bxNid+RmJlbQywVyMhiqFg==" spinCount="100000" sheet="1" objects="1" scenarios="1" selectLockedCells="1"/>
  <protectedRanges>
    <protectedRange algorithmName="SHA-512" hashValue="dS9M4/mVZTEgSgGFYGkKX9+a2XCV6wED8zMmhWssV9wTW3IMIxccBg7LDR8WegALJt1beLBBBm4hwaCt2Q8ELA==" saltValue="w067UIZEXUF8bqH9qZsodw==" spinCount="100000" sqref="B14:H20 B2:H13" name="Résultat"/>
  </protectedRanges>
  <mergeCells count="31">
    <mergeCell ref="H17:H18"/>
    <mergeCell ref="C17:C18"/>
    <mergeCell ref="D17:D18"/>
    <mergeCell ref="E17:E18"/>
    <mergeCell ref="F17:F18"/>
    <mergeCell ref="G17:G18"/>
    <mergeCell ref="F11:F12"/>
    <mergeCell ref="G11:G12"/>
    <mergeCell ref="H11:H12"/>
    <mergeCell ref="C15:C16"/>
    <mergeCell ref="D15:D16"/>
    <mergeCell ref="E15:E16"/>
    <mergeCell ref="F15:F16"/>
    <mergeCell ref="G15:G16"/>
    <mergeCell ref="H15:H16"/>
    <mergeCell ref="C2:E2"/>
    <mergeCell ref="F2:H2"/>
    <mergeCell ref="B19:B20"/>
    <mergeCell ref="C19:D20"/>
    <mergeCell ref="E19:E20"/>
    <mergeCell ref="F19:G20"/>
    <mergeCell ref="H19:H20"/>
    <mergeCell ref="C9:C10"/>
    <mergeCell ref="D9:D10"/>
    <mergeCell ref="E9:E10"/>
    <mergeCell ref="F9:F10"/>
    <mergeCell ref="G9:G10"/>
    <mergeCell ref="H9:H10"/>
    <mergeCell ref="C11:C12"/>
    <mergeCell ref="D11:D12"/>
    <mergeCell ref="E11:E12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r:id="rId1"/>
  <headerFooter>
    <oddHeader>&amp;L&amp;D&amp;CArchers Du moulon&amp;R&amp;F</oddHeader>
    <oddFooter>&amp;LCyril ANDREINI&amp;C&amp;A&amp;RPage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6AF6-EDC4-4BE6-82CF-3D0C4E902759}">
  <sheetPr codeName="Feuil1"/>
  <dimension ref="A1:V41"/>
  <sheetViews>
    <sheetView showRowColHeaders="0" view="pageBreakPreview" zoomScaleNormal="100" zoomScaleSheetLayoutView="100" workbookViewId="0">
      <pane ySplit="1" topLeftCell="A2" activePane="bottomLeft" state="frozenSplit"/>
      <selection pane="bottomLeft" activeCell="I28" sqref="I28"/>
    </sheetView>
  </sheetViews>
  <sheetFormatPr baseColWidth="10" defaultRowHeight="12.75" x14ac:dyDescent="0.2"/>
  <cols>
    <col min="1" max="1" width="5.5703125" style="2" bestFit="1" customWidth="1"/>
    <col min="2" max="2" width="9.85546875" style="2" bestFit="1" customWidth="1"/>
    <col min="3" max="3" width="10.42578125" style="2" bestFit="1" customWidth="1"/>
    <col min="4" max="4" width="6.5703125" style="2" bestFit="1" customWidth="1"/>
    <col min="5" max="5" width="10.42578125" style="2" bestFit="1" customWidth="1"/>
    <col min="6" max="6" width="8" style="2" bestFit="1" customWidth="1"/>
    <col min="7" max="7" width="7.5703125" style="2" bestFit="1" customWidth="1"/>
    <col min="8" max="8" width="7.7109375" style="3" customWidth="1"/>
    <col min="9" max="9" width="6.5703125" style="2" bestFit="1" customWidth="1"/>
    <col min="10" max="10" width="10.42578125" style="2" bestFit="1" customWidth="1"/>
    <col min="11" max="11" width="8" style="2" bestFit="1" customWidth="1"/>
    <col min="12" max="12" width="7.5703125" style="2" bestFit="1" customWidth="1"/>
    <col min="13" max="13" width="7.7109375" style="3" bestFit="1" customWidth="1"/>
    <col min="14" max="14" width="5.140625" style="2" customWidth="1"/>
    <col min="15" max="15" width="11.5703125" style="2" bestFit="1" customWidth="1"/>
    <col min="16" max="16" width="18.7109375" style="2" bestFit="1" customWidth="1"/>
    <col min="17" max="17" width="16.5703125" style="2" bestFit="1" customWidth="1"/>
    <col min="18" max="18" width="19.28515625" style="2" bestFit="1" customWidth="1"/>
    <col min="19" max="19" width="4.5703125" style="2" bestFit="1" customWidth="1"/>
    <col min="20" max="20" width="5.5703125" style="2" bestFit="1" customWidth="1"/>
    <col min="21" max="21" width="3" style="2" bestFit="1" customWidth="1"/>
    <col min="22" max="22" width="5.28515625" style="2" customWidth="1"/>
    <col min="23" max="16384" width="11.42578125" style="2"/>
  </cols>
  <sheetData>
    <row r="1" spans="1:22" s="1" customFormat="1" ht="26.25" thickBot="1" x14ac:dyDescent="0.25">
      <c r="A1" s="9" t="s">
        <v>0</v>
      </c>
      <c r="B1" s="10" t="s">
        <v>30</v>
      </c>
      <c r="C1" s="10" t="s">
        <v>29</v>
      </c>
      <c r="D1" s="11" t="s">
        <v>1</v>
      </c>
      <c r="E1" s="12" t="s">
        <v>6</v>
      </c>
      <c r="F1" s="13" t="s">
        <v>2</v>
      </c>
      <c r="G1" s="14" t="s">
        <v>9</v>
      </c>
      <c r="H1" s="15" t="s">
        <v>8</v>
      </c>
      <c r="I1" s="16" t="s">
        <v>1</v>
      </c>
      <c r="J1" s="17" t="s">
        <v>6</v>
      </c>
      <c r="K1" s="18" t="s">
        <v>2</v>
      </c>
      <c r="L1" s="19" t="s">
        <v>9</v>
      </c>
      <c r="M1" s="20" t="s">
        <v>8</v>
      </c>
      <c r="O1" s="247"/>
      <c r="P1" s="248"/>
      <c r="Q1" s="51" t="s">
        <v>11</v>
      </c>
      <c r="R1" s="47" t="s">
        <v>12</v>
      </c>
      <c r="S1" s="2"/>
      <c r="T1" s="2"/>
    </row>
    <row r="2" spans="1:22" ht="13.5" thickBot="1" x14ac:dyDescent="0.25">
      <c r="A2" s="53">
        <f>Q4</f>
        <v>4</v>
      </c>
      <c r="B2" s="54">
        <f>(Q2/Q28)*(A2*O28)</f>
        <v>7.3472768503937012</v>
      </c>
      <c r="C2" s="55">
        <f>R2</f>
        <v>28.346472000000002</v>
      </c>
      <c r="D2" s="55">
        <f>Q7</f>
        <v>100</v>
      </c>
      <c r="E2" s="55">
        <f>Q9</f>
        <v>9.6</v>
      </c>
      <c r="F2" s="55">
        <f>Q10</f>
        <v>9.26</v>
      </c>
      <c r="G2" s="55">
        <f>Q11</f>
        <v>15.43</v>
      </c>
      <c r="H2" s="56" t="s">
        <v>7</v>
      </c>
      <c r="I2" s="54">
        <f>Q8</f>
        <v>125</v>
      </c>
      <c r="J2" s="55">
        <f>Q9</f>
        <v>9.6</v>
      </c>
      <c r="K2" s="57">
        <f>Q10</f>
        <v>9.26</v>
      </c>
      <c r="L2" s="58">
        <f>Q11</f>
        <v>15.43</v>
      </c>
      <c r="M2" s="59" t="s">
        <v>7</v>
      </c>
      <c r="O2" s="251" t="s">
        <v>10</v>
      </c>
      <c r="P2" s="252"/>
      <c r="Q2" s="5">
        <f>Données!C12</f>
        <v>72</v>
      </c>
      <c r="R2" s="48">
        <f>Q2*0.393701</f>
        <v>28.346472000000002</v>
      </c>
    </row>
    <row r="3" spans="1:22" x14ac:dyDescent="0.2">
      <c r="A3" s="60">
        <f>A2</f>
        <v>4</v>
      </c>
      <c r="B3" s="61">
        <f>(Q2/Q28)*(A2*O28)</f>
        <v>7.3472768503937012</v>
      </c>
      <c r="C3" s="62">
        <f>C2*A3</f>
        <v>113.38588800000001</v>
      </c>
      <c r="D3" s="63">
        <f>C3+D2</f>
        <v>213.38588800000002</v>
      </c>
      <c r="E3" s="64">
        <f>D3+E2</f>
        <v>222.98588800000002</v>
      </c>
      <c r="F3" s="65">
        <f>E3+F2</f>
        <v>232.24588800000001</v>
      </c>
      <c r="G3" s="66">
        <f>F3+G2</f>
        <v>247.67588800000001</v>
      </c>
      <c r="H3" s="67">
        <f>G3*O28</f>
        <v>16.049125098923202</v>
      </c>
      <c r="I3" s="68">
        <f>C3+I2</f>
        <v>238.38588800000002</v>
      </c>
      <c r="J3" s="64">
        <f>I3+J2</f>
        <v>247.98588800000002</v>
      </c>
      <c r="K3" s="69">
        <f>J3+K2</f>
        <v>257.24588800000004</v>
      </c>
      <c r="L3" s="70">
        <f>K3+L2</f>
        <v>272.67588800000004</v>
      </c>
      <c r="M3" s="71">
        <f>K3*O28</f>
        <v>16.669250571923204</v>
      </c>
      <c r="O3" s="249" t="s">
        <v>19</v>
      </c>
      <c r="P3" s="250"/>
      <c r="Q3" s="4">
        <f>Données!C4</f>
        <v>45</v>
      </c>
      <c r="R3" s="21" t="s">
        <v>26</v>
      </c>
      <c r="T3" s="49">
        <f>Q3*P28</f>
        <v>20.411639999999998</v>
      </c>
      <c r="U3" s="2" t="s">
        <v>27</v>
      </c>
      <c r="V3" s="1"/>
    </row>
    <row r="4" spans="1:22" ht="13.5" thickBot="1" x14ac:dyDescent="0.25">
      <c r="A4" s="72">
        <f>A3+0.1</f>
        <v>4.0999999999999996</v>
      </c>
      <c r="B4" s="73">
        <f>(Q2/Q28)*(A3*O28)</f>
        <v>7.3472768503937012</v>
      </c>
      <c r="C4" s="74">
        <f>C2*A4</f>
        <v>116.2205352</v>
      </c>
      <c r="D4" s="75">
        <f>C4+D2</f>
        <v>216.2205352</v>
      </c>
      <c r="E4" s="76">
        <f>D4+E2</f>
        <v>225.82053519999999</v>
      </c>
      <c r="F4" s="77">
        <f>E4+F2</f>
        <v>235.08053519999999</v>
      </c>
      <c r="G4" s="78">
        <f>F4+G2</f>
        <v>250.51053519999999</v>
      </c>
      <c r="H4" s="79">
        <f>F4*O28</f>
        <v>15.232960092371281</v>
      </c>
      <c r="I4" s="80">
        <f>C4+I2</f>
        <v>241.2205352</v>
      </c>
      <c r="J4" s="76">
        <f>I4+J2</f>
        <v>250.82053519999999</v>
      </c>
      <c r="K4" s="81">
        <f>J4+K2</f>
        <v>260.08053519999999</v>
      </c>
      <c r="L4" s="82">
        <f>K4+L2</f>
        <v>275.51053519999999</v>
      </c>
      <c r="M4" s="83">
        <f>K4*O28</f>
        <v>16.852932592371282</v>
      </c>
      <c r="O4" s="245" t="s">
        <v>24</v>
      </c>
      <c r="P4" s="246"/>
      <c r="Q4" s="6">
        <f>Données!C14</f>
        <v>4</v>
      </c>
      <c r="R4" s="22" t="s">
        <v>25</v>
      </c>
      <c r="T4" s="50">
        <f>Q4*O28</f>
        <v>0.25919560000000003</v>
      </c>
      <c r="U4" s="2" t="s">
        <v>28</v>
      </c>
      <c r="V4" s="1"/>
    </row>
    <row r="5" spans="1:22" x14ac:dyDescent="0.2">
      <c r="A5" s="72">
        <f t="shared" ref="A5:A41" si="0">A4+0.1</f>
        <v>4.1999999999999993</v>
      </c>
      <c r="B5" s="73">
        <f>(Q2/Q28)*(A5*O28)</f>
        <v>7.7146406929133855</v>
      </c>
      <c r="C5" s="74">
        <f>C2*A5</f>
        <v>119.05518239999999</v>
      </c>
      <c r="D5" s="75">
        <f>C5+D2</f>
        <v>219.05518239999998</v>
      </c>
      <c r="E5" s="76">
        <f>D5+E2</f>
        <v>228.65518239999997</v>
      </c>
      <c r="F5" s="77">
        <f>E5+F2</f>
        <v>237.91518239999996</v>
      </c>
      <c r="G5" s="78">
        <f>F5+G2</f>
        <v>253.34518239999997</v>
      </c>
      <c r="H5" s="79">
        <f>F5*O28</f>
        <v>15.416642112819359</v>
      </c>
      <c r="I5" s="80">
        <f>C5+I2</f>
        <v>244.05518239999998</v>
      </c>
      <c r="J5" s="76">
        <f>I5+J2</f>
        <v>253.65518239999997</v>
      </c>
      <c r="K5" s="81">
        <f>J5+K2</f>
        <v>262.91518239999999</v>
      </c>
      <c r="L5" s="82">
        <f>K5+L2</f>
        <v>278.3451824</v>
      </c>
      <c r="M5" s="83">
        <f>K5*O28</f>
        <v>17.03661461281936</v>
      </c>
    </row>
    <row r="6" spans="1:22" ht="13.5" thickBot="1" x14ac:dyDescent="0.25">
      <c r="A6" s="72">
        <f t="shared" si="0"/>
        <v>4.2999999999999989</v>
      </c>
      <c r="B6" s="73">
        <f>(Q2/Q28)*(A6*O28)</f>
        <v>7.8983226141732263</v>
      </c>
      <c r="C6" s="74">
        <f>C2*A6</f>
        <v>121.88982959999998</v>
      </c>
      <c r="D6" s="75">
        <f>C6+D2</f>
        <v>221.88982959999998</v>
      </c>
      <c r="E6" s="76">
        <f>D6+E2</f>
        <v>231.48982959999998</v>
      </c>
      <c r="F6" s="77">
        <f>E6+F2</f>
        <v>240.74982959999997</v>
      </c>
      <c r="G6" s="78">
        <f>F6+G2</f>
        <v>256.17982959999995</v>
      </c>
      <c r="H6" s="79">
        <f>F6*O28</f>
        <v>15.60032413326744</v>
      </c>
      <c r="I6" s="80">
        <f>C6+I2</f>
        <v>246.88982959999998</v>
      </c>
      <c r="J6" s="76">
        <f>I6+J2</f>
        <v>256.48982960000001</v>
      </c>
      <c r="K6" s="81">
        <f>J6+K2</f>
        <v>265.7498296</v>
      </c>
      <c r="L6" s="82">
        <f>K6+L2</f>
        <v>281.17982960000001</v>
      </c>
      <c r="M6" s="83">
        <f>K6*O28</f>
        <v>17.220296633267441</v>
      </c>
    </row>
    <row r="7" spans="1:22" x14ac:dyDescent="0.2">
      <c r="A7" s="72">
        <f t="shared" si="0"/>
        <v>4.3999999999999986</v>
      </c>
      <c r="B7" s="73">
        <f>(Q2/Q28)*(A7*O28)</f>
        <v>8.0820045354330681</v>
      </c>
      <c r="C7" s="74">
        <f>C2*A7</f>
        <v>124.72447679999996</v>
      </c>
      <c r="D7" s="75">
        <f>C7+D2</f>
        <v>224.72447679999996</v>
      </c>
      <c r="E7" s="76">
        <f>D7+E2</f>
        <v>234.32447679999996</v>
      </c>
      <c r="F7" s="77">
        <f>E7+F2</f>
        <v>243.58447679999995</v>
      </c>
      <c r="G7" s="78">
        <f>F7+G2</f>
        <v>259.01447679999995</v>
      </c>
      <c r="H7" s="79">
        <f>F7*O28</f>
        <v>15.784006153715518</v>
      </c>
      <c r="I7" s="80">
        <f>C7+I2</f>
        <v>249.72447679999996</v>
      </c>
      <c r="J7" s="76">
        <f>I7+J2</f>
        <v>259.32447679999996</v>
      </c>
      <c r="K7" s="81">
        <f>J7+K2</f>
        <v>268.58447679999995</v>
      </c>
      <c r="L7" s="82">
        <f>K7+L2</f>
        <v>284.01447679999995</v>
      </c>
      <c r="M7" s="83">
        <f>K7*O28</f>
        <v>17.403978653715519</v>
      </c>
      <c r="O7" s="262" t="s">
        <v>18</v>
      </c>
      <c r="P7" s="263"/>
      <c r="Q7" s="112">
        <f>Données!C6</f>
        <v>100</v>
      </c>
      <c r="R7" s="259" t="s">
        <v>13</v>
      </c>
      <c r="S7" s="260"/>
      <c r="T7" s="260"/>
      <c r="U7" s="261"/>
    </row>
    <row r="8" spans="1:22" x14ac:dyDescent="0.2">
      <c r="A8" s="72">
        <f t="shared" si="0"/>
        <v>4.4999999999999982</v>
      </c>
      <c r="B8" s="73">
        <f>(Q2/Q28)*(A8*O28)</f>
        <v>8.2656864566929116</v>
      </c>
      <c r="C8" s="74">
        <f>C2*A8</f>
        <v>127.55912399999995</v>
      </c>
      <c r="D8" s="75">
        <f>C8+D2</f>
        <v>227.55912399999994</v>
      </c>
      <c r="E8" s="76">
        <f>D8+E2</f>
        <v>237.15912399999993</v>
      </c>
      <c r="F8" s="77">
        <f>E8+F2</f>
        <v>246.41912399999993</v>
      </c>
      <c r="G8" s="78">
        <f>F8+G2</f>
        <v>261.8491239999999</v>
      </c>
      <c r="H8" s="79">
        <f>F8*O28</f>
        <v>15.967688174163596</v>
      </c>
      <c r="I8" s="80">
        <f>C8+I2</f>
        <v>252.55912399999994</v>
      </c>
      <c r="J8" s="76">
        <f>I8+J2</f>
        <v>262.15912399999996</v>
      </c>
      <c r="K8" s="81">
        <f>J8+K2</f>
        <v>271.41912399999995</v>
      </c>
      <c r="L8" s="82">
        <f>K8+L2</f>
        <v>286.84912399999996</v>
      </c>
      <c r="M8" s="83">
        <f>K8*O28</f>
        <v>17.587660674163597</v>
      </c>
      <c r="O8" s="264"/>
      <c r="P8" s="265"/>
      <c r="Q8" s="113">
        <f>Données!C7</f>
        <v>125</v>
      </c>
      <c r="R8" s="256" t="s">
        <v>14</v>
      </c>
      <c r="S8" s="257"/>
      <c r="T8" s="257"/>
      <c r="U8" s="258"/>
    </row>
    <row r="9" spans="1:22" x14ac:dyDescent="0.2">
      <c r="A9" s="72">
        <f t="shared" si="0"/>
        <v>4.5999999999999979</v>
      </c>
      <c r="B9" s="73">
        <f>(Q2/Q28)*(A9*O28)</f>
        <v>8.4493683779527533</v>
      </c>
      <c r="C9" s="74">
        <f>C2*A9</f>
        <v>130.39377119999995</v>
      </c>
      <c r="D9" s="75">
        <f>C9+D2</f>
        <v>230.39377119999995</v>
      </c>
      <c r="E9" s="76">
        <f>D9+E2</f>
        <v>239.99377119999994</v>
      </c>
      <c r="F9" s="77">
        <f>E9+F2</f>
        <v>249.25377119999993</v>
      </c>
      <c r="G9" s="78">
        <f>F9+G2</f>
        <v>264.68377119999991</v>
      </c>
      <c r="H9" s="79">
        <f>F9*O28</f>
        <v>16.151370194611676</v>
      </c>
      <c r="I9" s="80">
        <f>C9+I2</f>
        <v>255.39377119999995</v>
      </c>
      <c r="J9" s="76">
        <f>I9+J2</f>
        <v>264.99377119999997</v>
      </c>
      <c r="K9" s="81">
        <f>J9+K2</f>
        <v>274.25377119999996</v>
      </c>
      <c r="L9" s="82">
        <f>K9+L2</f>
        <v>289.68377119999997</v>
      </c>
      <c r="M9" s="83">
        <f>K9*O28</f>
        <v>17.771342694611679</v>
      </c>
      <c r="O9" s="264"/>
      <c r="P9" s="265"/>
      <c r="Q9" s="4">
        <f>Données!C10</f>
        <v>9.6</v>
      </c>
      <c r="R9" s="256" t="s">
        <v>15</v>
      </c>
      <c r="S9" s="257"/>
      <c r="T9" s="257"/>
      <c r="U9" s="258"/>
    </row>
    <row r="10" spans="1:22" x14ac:dyDescent="0.2">
      <c r="A10" s="72">
        <f t="shared" si="0"/>
        <v>4.6999999999999975</v>
      </c>
      <c r="B10" s="73">
        <f>(Q2/Q28)*(A10*O28)</f>
        <v>8.633050299212595</v>
      </c>
      <c r="C10" s="74">
        <f>A10*C2</f>
        <v>133.22841839999995</v>
      </c>
      <c r="D10" s="75">
        <f>C10+D2</f>
        <v>233.22841839999995</v>
      </c>
      <c r="E10" s="76">
        <f>D10+E2</f>
        <v>242.82841839999995</v>
      </c>
      <c r="F10" s="77">
        <f>E10+F2</f>
        <v>252.08841839999994</v>
      </c>
      <c r="G10" s="78">
        <f>F10+G2</f>
        <v>267.51841839999992</v>
      </c>
      <c r="H10" s="79">
        <f>F10*O28</f>
        <v>16.335052215059758</v>
      </c>
      <c r="I10" s="80">
        <f>C10+I2</f>
        <v>258.22841839999995</v>
      </c>
      <c r="J10" s="76">
        <f>I10+J2</f>
        <v>267.82841839999998</v>
      </c>
      <c r="K10" s="81">
        <f>J10+K2</f>
        <v>277.08841839999997</v>
      </c>
      <c r="L10" s="82">
        <f>K10+L2</f>
        <v>292.51841839999997</v>
      </c>
      <c r="M10" s="83">
        <f>K10*O28</f>
        <v>17.955024715059761</v>
      </c>
      <c r="O10" s="264"/>
      <c r="P10" s="265"/>
      <c r="Q10" s="4">
        <f>Données!C9</f>
        <v>9.26</v>
      </c>
      <c r="R10" s="256" t="s">
        <v>16</v>
      </c>
      <c r="S10" s="257"/>
      <c r="T10" s="257"/>
      <c r="U10" s="258"/>
    </row>
    <row r="11" spans="1:22" ht="13.5" thickBot="1" x14ac:dyDescent="0.25">
      <c r="A11" s="72">
        <f t="shared" si="0"/>
        <v>4.7999999999999972</v>
      </c>
      <c r="B11" s="73">
        <f>(Q2/Q28)*(A11*O28)</f>
        <v>8.816732220472435</v>
      </c>
      <c r="C11" s="74">
        <f>A11*C2</f>
        <v>136.06306559999993</v>
      </c>
      <c r="D11" s="75">
        <f>C11+D2</f>
        <v>236.06306559999993</v>
      </c>
      <c r="E11" s="76">
        <f>D11+E2</f>
        <v>245.66306559999992</v>
      </c>
      <c r="F11" s="77">
        <f>E11+F2</f>
        <v>254.92306559999992</v>
      </c>
      <c r="G11" s="78">
        <f>F11+G2</f>
        <v>270.35306559999992</v>
      </c>
      <c r="H11" s="79">
        <f>F11*O28</f>
        <v>16.518734235507836</v>
      </c>
      <c r="I11" s="80">
        <f>C11+I2</f>
        <v>261.06306559999996</v>
      </c>
      <c r="J11" s="76">
        <f>I11+J2</f>
        <v>270.66306559999998</v>
      </c>
      <c r="K11" s="81">
        <f>J11+K2</f>
        <v>279.92306559999997</v>
      </c>
      <c r="L11" s="82">
        <f>K11+L2</f>
        <v>295.35306559999998</v>
      </c>
      <c r="M11" s="83">
        <f>K11*O28</f>
        <v>18.138706735507839</v>
      </c>
      <c r="O11" s="266"/>
      <c r="P11" s="267"/>
      <c r="Q11" s="6">
        <f>Données!C8</f>
        <v>15.43</v>
      </c>
      <c r="R11" s="253" t="s">
        <v>17</v>
      </c>
      <c r="S11" s="254"/>
      <c r="T11" s="254"/>
      <c r="U11" s="255"/>
    </row>
    <row r="12" spans="1:22" x14ac:dyDescent="0.2">
      <c r="A12" s="72">
        <f t="shared" si="0"/>
        <v>4.8999999999999968</v>
      </c>
      <c r="B12" s="73">
        <f>(Q2/Q28)*(A12*O28)</f>
        <v>9.0004141417322785</v>
      </c>
      <c r="C12" s="74">
        <f>C2*A12</f>
        <v>138.89771279999991</v>
      </c>
      <c r="D12" s="75">
        <f>D2+C12</f>
        <v>238.89771279999991</v>
      </c>
      <c r="E12" s="76">
        <f>D12+E2</f>
        <v>248.4977127999999</v>
      </c>
      <c r="F12" s="77">
        <f>E12+F2</f>
        <v>257.75771279999992</v>
      </c>
      <c r="G12" s="78">
        <f>F12+G2</f>
        <v>273.18771279999993</v>
      </c>
      <c r="H12" s="79">
        <f>F12*O28</f>
        <v>16.702416255955917</v>
      </c>
      <c r="I12" s="80">
        <f>I2+C12</f>
        <v>263.89771279999991</v>
      </c>
      <c r="J12" s="76">
        <f>I12+J2</f>
        <v>273.49771279999993</v>
      </c>
      <c r="K12" s="81">
        <f>J12+K2</f>
        <v>282.75771279999992</v>
      </c>
      <c r="L12" s="82">
        <f>K12+L2</f>
        <v>298.18771279999993</v>
      </c>
      <c r="M12" s="83">
        <f>K12*O28</f>
        <v>18.322388755955917</v>
      </c>
      <c r="O12" s="23"/>
      <c r="P12" s="23"/>
      <c r="Q12" s="24"/>
      <c r="R12" s="25"/>
      <c r="S12" s="25"/>
      <c r="T12" s="25"/>
      <c r="U12" s="25"/>
    </row>
    <row r="13" spans="1:22" x14ac:dyDescent="0.2">
      <c r="A13" s="72">
        <f t="shared" si="0"/>
        <v>4.9999999999999964</v>
      </c>
      <c r="B13" s="73">
        <f>(Q2/Q28)*(A13*O28)</f>
        <v>9.1840960629921202</v>
      </c>
      <c r="C13" s="74">
        <f>C2*A13</f>
        <v>141.73235999999991</v>
      </c>
      <c r="D13" s="75">
        <f>D2+C13</f>
        <v>241.73235999999991</v>
      </c>
      <c r="E13" s="76">
        <f>D13+E2</f>
        <v>251.33235999999991</v>
      </c>
      <c r="F13" s="77">
        <f>E13+F2</f>
        <v>260.59235999999993</v>
      </c>
      <c r="G13" s="78">
        <f>F13+G2</f>
        <v>276.02235999999994</v>
      </c>
      <c r="H13" s="79">
        <f>F13*O28</f>
        <v>16.886098276403995</v>
      </c>
      <c r="I13" s="80">
        <f>I2+C13</f>
        <v>266.73235999999991</v>
      </c>
      <c r="J13" s="76">
        <f>I13+J2</f>
        <v>276.33235999999994</v>
      </c>
      <c r="K13" s="81">
        <f>J13+K2</f>
        <v>285.59235999999993</v>
      </c>
      <c r="L13" s="82">
        <f>K13+L11</f>
        <v>580.94542559999991</v>
      </c>
      <c r="M13" s="83">
        <f>K13*O28</f>
        <v>18.506070776403998</v>
      </c>
      <c r="O13" s="23"/>
      <c r="P13" s="23"/>
      <c r="Q13" s="52"/>
      <c r="R13" s="25"/>
      <c r="S13" s="25"/>
      <c r="T13" s="25"/>
      <c r="U13" s="25"/>
    </row>
    <row r="14" spans="1:22" ht="13.5" thickBot="1" x14ac:dyDescent="0.25">
      <c r="A14" s="72">
        <f t="shared" si="0"/>
        <v>5.0999999999999961</v>
      </c>
      <c r="B14" s="73">
        <f>(Q2/Q28)*(A14*O28)</f>
        <v>9.367777984251962</v>
      </c>
      <c r="C14" s="74">
        <f>C2*A14</f>
        <v>144.56700719999989</v>
      </c>
      <c r="D14" s="75">
        <f>D2+C14</f>
        <v>244.56700719999989</v>
      </c>
      <c r="E14" s="76">
        <f>D14+E2</f>
        <v>254.16700719999989</v>
      </c>
      <c r="F14" s="77">
        <f>E14+F2</f>
        <v>263.42700719999988</v>
      </c>
      <c r="G14" s="78">
        <f>F14+G2</f>
        <v>278.85700719999988</v>
      </c>
      <c r="H14" s="79">
        <f>F14*O28</f>
        <v>17.069780296852073</v>
      </c>
      <c r="I14" s="80">
        <f>I2+C14</f>
        <v>269.56700719999992</v>
      </c>
      <c r="J14" s="76">
        <f>I14+J2</f>
        <v>279.16700719999994</v>
      </c>
      <c r="K14" s="81">
        <f>J14+K2</f>
        <v>288.42700719999993</v>
      </c>
      <c r="L14" s="82">
        <f>K14+L2</f>
        <v>303.85700719999994</v>
      </c>
      <c r="M14" s="83">
        <f>K14*O28</f>
        <v>18.689752796852076</v>
      </c>
      <c r="O14" s="43"/>
      <c r="P14" s="43"/>
      <c r="T14" s="25"/>
      <c r="U14" s="25"/>
    </row>
    <row r="15" spans="1:22" x14ac:dyDescent="0.2">
      <c r="A15" s="72">
        <f t="shared" si="0"/>
        <v>5.1999999999999957</v>
      </c>
      <c r="B15" s="73">
        <f>(Q2/Q28)*(A15*O28)</f>
        <v>9.5514599055118037</v>
      </c>
      <c r="C15" s="74">
        <f>C2*A15</f>
        <v>147.4016543999999</v>
      </c>
      <c r="D15" s="75">
        <f>D2+C15</f>
        <v>247.4016543999999</v>
      </c>
      <c r="E15" s="76">
        <f>D15+E2</f>
        <v>257.00165439999989</v>
      </c>
      <c r="F15" s="77">
        <f>E15+F2</f>
        <v>266.26165439999988</v>
      </c>
      <c r="G15" s="78">
        <f>F15+G2</f>
        <v>281.69165439999989</v>
      </c>
      <c r="H15" s="79">
        <f>F15*O28</f>
        <v>17.253462317300155</v>
      </c>
      <c r="I15" s="80">
        <f>I2+C15</f>
        <v>272.40165439999987</v>
      </c>
      <c r="J15" s="76">
        <f>I15+J2</f>
        <v>282.00165439999989</v>
      </c>
      <c r="K15" s="81">
        <f>J15+K2</f>
        <v>291.26165439999988</v>
      </c>
      <c r="L15" s="82">
        <f>K15+L2</f>
        <v>306.69165439999989</v>
      </c>
      <c r="M15" s="83">
        <f>K15*O28</f>
        <v>18.873434817300154</v>
      </c>
      <c r="O15" s="268" t="s">
        <v>31</v>
      </c>
      <c r="P15" s="269"/>
      <c r="Q15" s="43"/>
      <c r="R15" s="268" t="s">
        <v>35</v>
      </c>
      <c r="S15" s="269"/>
      <c r="T15" s="43"/>
      <c r="U15" s="25"/>
    </row>
    <row r="16" spans="1:22" x14ac:dyDescent="0.2">
      <c r="A16" s="72">
        <f t="shared" si="0"/>
        <v>5.2999999999999954</v>
      </c>
      <c r="B16" s="73">
        <f>(Q2/Q28)*(A16*O28)</f>
        <v>9.7351418267716472</v>
      </c>
      <c r="C16" s="74">
        <f>C2*A16</f>
        <v>150.23630159999988</v>
      </c>
      <c r="D16" s="75">
        <f>D2+C16</f>
        <v>250.23630159999988</v>
      </c>
      <c r="E16" s="76">
        <f>D16+E2</f>
        <v>259.8363015999999</v>
      </c>
      <c r="F16" s="77">
        <f>E16+F2</f>
        <v>269.09630159999989</v>
      </c>
      <c r="G16" s="78">
        <f>F16+G2</f>
        <v>284.5263015999999</v>
      </c>
      <c r="H16" s="79">
        <f>F16*O28</f>
        <v>17.437144337748233</v>
      </c>
      <c r="I16" s="80">
        <f>I2+C16</f>
        <v>275.23630159999988</v>
      </c>
      <c r="J16" s="76">
        <f>I16+J2</f>
        <v>284.8363015999999</v>
      </c>
      <c r="K16" s="81">
        <f>J16+K2</f>
        <v>294.09630159999989</v>
      </c>
      <c r="L16" s="82">
        <f>K16+L2</f>
        <v>309.5263015999999</v>
      </c>
      <c r="M16" s="83">
        <f>K16*O28</f>
        <v>19.057116837748236</v>
      </c>
      <c r="O16" s="44" t="s">
        <v>32</v>
      </c>
      <c r="P16" s="7">
        <v>8</v>
      </c>
      <c r="R16" s="44" t="s">
        <v>32</v>
      </c>
      <c r="S16" s="7">
        <v>6</v>
      </c>
      <c r="U16" s="25"/>
    </row>
    <row r="17" spans="1:22" x14ac:dyDescent="0.2">
      <c r="A17" s="72">
        <f t="shared" si="0"/>
        <v>5.399999999999995</v>
      </c>
      <c r="B17" s="73">
        <f>(Q2/Q28)*(A17*O28)</f>
        <v>9.9188237480314871</v>
      </c>
      <c r="C17" s="74">
        <f>C2*A17</f>
        <v>153.07094879999988</v>
      </c>
      <c r="D17" s="75">
        <f>D2+C17</f>
        <v>253.07094879999988</v>
      </c>
      <c r="E17" s="76">
        <f>D17+E2</f>
        <v>262.67094879999991</v>
      </c>
      <c r="F17" s="77">
        <f>E17+F2</f>
        <v>271.9309487999999</v>
      </c>
      <c r="G17" s="78">
        <f>F17+G2</f>
        <v>287.3609487999999</v>
      </c>
      <c r="H17" s="79">
        <f>F17*O28</f>
        <v>17.620826358196314</v>
      </c>
      <c r="I17" s="80">
        <f>I2+C17</f>
        <v>278.07094879999988</v>
      </c>
      <c r="J17" s="76">
        <f>I17+J2</f>
        <v>287.67094879999991</v>
      </c>
      <c r="K17" s="81">
        <f>J17+K2</f>
        <v>296.9309487999999</v>
      </c>
      <c r="L17" s="82">
        <f>K17+L2</f>
        <v>312.3609487999999</v>
      </c>
      <c r="M17" s="83">
        <f>K17*O28</f>
        <v>19.240798858196314</v>
      </c>
      <c r="O17" s="45" t="s">
        <v>33</v>
      </c>
      <c r="P17" s="7">
        <v>9</v>
      </c>
      <c r="R17" s="45" t="s">
        <v>33</v>
      </c>
      <c r="S17" s="7">
        <v>7</v>
      </c>
      <c r="U17" s="25"/>
    </row>
    <row r="18" spans="1:22" ht="13.5" thickBot="1" x14ac:dyDescent="0.25">
      <c r="A18" s="72">
        <f t="shared" si="0"/>
        <v>5.4999999999999947</v>
      </c>
      <c r="B18" s="73">
        <f>(Q2/Q28)*(A18*O28)</f>
        <v>10.102505669291329</v>
      </c>
      <c r="C18" s="74">
        <f>C2*A18</f>
        <v>155.90559599999986</v>
      </c>
      <c r="D18" s="75">
        <f>D2+C18</f>
        <v>255.90559599999986</v>
      </c>
      <c r="E18" s="76">
        <f>D18+E2</f>
        <v>265.50559599999985</v>
      </c>
      <c r="F18" s="77">
        <f>E18+F2</f>
        <v>274.76559599999985</v>
      </c>
      <c r="G18" s="78">
        <f>F18+G2</f>
        <v>290.19559599999985</v>
      </c>
      <c r="H18" s="79">
        <f>F18*O28</f>
        <v>17.804508378644393</v>
      </c>
      <c r="I18" s="80">
        <f>I2+C18</f>
        <v>280.90559599999983</v>
      </c>
      <c r="J18" s="76">
        <f>I18+J2</f>
        <v>290.50559599999985</v>
      </c>
      <c r="K18" s="81">
        <f>J18+K2</f>
        <v>299.76559599999985</v>
      </c>
      <c r="L18" s="82">
        <f>K18+L2</f>
        <v>315.19559599999985</v>
      </c>
      <c r="M18" s="83">
        <f>K18*O28</f>
        <v>19.424480878644392</v>
      </c>
      <c r="O18" s="46" t="s">
        <v>34</v>
      </c>
      <c r="P18" s="8">
        <v>10</v>
      </c>
      <c r="R18" s="46" t="s">
        <v>34</v>
      </c>
      <c r="S18" s="8">
        <v>8</v>
      </c>
      <c r="U18" s="25"/>
    </row>
    <row r="19" spans="1:22" x14ac:dyDescent="0.2">
      <c r="A19" s="72">
        <f t="shared" si="0"/>
        <v>5.5999999999999943</v>
      </c>
      <c r="B19" s="73">
        <f>(Q2/Q28)*(A19*O28)</f>
        <v>10.286187590551172</v>
      </c>
      <c r="C19" s="74">
        <f>C2*A19</f>
        <v>158.74024319999984</v>
      </c>
      <c r="D19" s="75">
        <f>D2+C19</f>
        <v>258.74024319999984</v>
      </c>
      <c r="E19" s="76">
        <f>D19+E2</f>
        <v>268.34024319999986</v>
      </c>
      <c r="F19" s="77">
        <f>E19+F2</f>
        <v>277.60024319999985</v>
      </c>
      <c r="G19" s="78">
        <f>F19+G2</f>
        <v>293.03024319999986</v>
      </c>
      <c r="H19" s="79">
        <f>F19*O28</f>
        <v>17.988190399092471</v>
      </c>
      <c r="I19" s="80">
        <f>I2+C19</f>
        <v>283.74024319999984</v>
      </c>
      <c r="J19" s="76">
        <f>I19+J2</f>
        <v>293.34024319999986</v>
      </c>
      <c r="K19" s="81">
        <f>J19+K2</f>
        <v>302.60024319999985</v>
      </c>
      <c r="L19" s="82">
        <f>K19+L2</f>
        <v>318.03024319999986</v>
      </c>
      <c r="M19" s="83">
        <f>K19*O28</f>
        <v>19.608162899092473</v>
      </c>
      <c r="O19" s="23"/>
      <c r="P19" s="23"/>
      <c r="Q19" s="24"/>
      <c r="R19" s="23"/>
      <c r="S19" s="23"/>
      <c r="T19" s="24"/>
      <c r="U19" s="25"/>
    </row>
    <row r="20" spans="1:22" x14ac:dyDescent="0.2">
      <c r="A20" s="84">
        <f t="shared" si="0"/>
        <v>5.699999999999994</v>
      </c>
      <c r="B20" s="73">
        <f>(Q2/Q28)*(A20*O28)</f>
        <v>10.469869511811014</v>
      </c>
      <c r="C20" s="85">
        <f>C2*A20</f>
        <v>161.57489039999984</v>
      </c>
      <c r="D20" s="86">
        <f>D2+C21</f>
        <v>264.40953759999979</v>
      </c>
      <c r="E20" s="87">
        <f>D20+E2</f>
        <v>274.00953759999982</v>
      </c>
      <c r="F20" s="88">
        <f>E20+F2</f>
        <v>283.26953759999981</v>
      </c>
      <c r="G20" s="89">
        <f>F20+G2</f>
        <v>298.69953759999981</v>
      </c>
      <c r="H20" s="90">
        <f>F20*O28</f>
        <v>18.35555443998863</v>
      </c>
      <c r="I20" s="91">
        <f>I2+C20</f>
        <v>286.57489039999984</v>
      </c>
      <c r="J20" s="87">
        <f>I20+J2</f>
        <v>296.17489039999987</v>
      </c>
      <c r="K20" s="92">
        <f>J20+K2</f>
        <v>305.43489039999986</v>
      </c>
      <c r="L20" s="93">
        <f>K20+L2</f>
        <v>320.86489039999987</v>
      </c>
      <c r="M20" s="94">
        <f>K20*O28</f>
        <v>19.791844919540551</v>
      </c>
      <c r="O20" s="23"/>
      <c r="P20" s="23"/>
      <c r="Q20" s="24"/>
      <c r="R20" s="25"/>
      <c r="S20" s="25"/>
      <c r="T20" s="25"/>
      <c r="U20" s="25"/>
    </row>
    <row r="21" spans="1:22" ht="13.5" thickBot="1" x14ac:dyDescent="0.25">
      <c r="A21" s="84">
        <f t="shared" si="0"/>
        <v>5.7999999999999936</v>
      </c>
      <c r="B21" s="73">
        <f>(Q2/Q28)*(A21*O28)</f>
        <v>10.653551433070856</v>
      </c>
      <c r="C21" s="85">
        <f>C2*A21</f>
        <v>164.40953759999982</v>
      </c>
      <c r="D21" s="86">
        <f>C21+D2</f>
        <v>264.40953759999979</v>
      </c>
      <c r="E21" s="87">
        <f>D21+E2</f>
        <v>274.00953759999982</v>
      </c>
      <c r="F21" s="88">
        <f>E21+F2</f>
        <v>283.26953759999981</v>
      </c>
      <c r="G21" s="89">
        <f>F21+G2</f>
        <v>298.69953759999981</v>
      </c>
      <c r="H21" s="90">
        <f>F21*O28</f>
        <v>18.35555443998863</v>
      </c>
      <c r="I21" s="91">
        <f>C21+I2</f>
        <v>289.40953759999979</v>
      </c>
      <c r="J21" s="87">
        <f>I21+J2</f>
        <v>299.00953759999982</v>
      </c>
      <c r="K21" s="92">
        <f>J21+K2</f>
        <v>308.26953759999981</v>
      </c>
      <c r="L21" s="93">
        <f>K21+L2</f>
        <v>323.69953759999981</v>
      </c>
      <c r="M21" s="94">
        <f>K21*O28</f>
        <v>19.975526939988629</v>
      </c>
    </row>
    <row r="22" spans="1:22" ht="13.5" thickBot="1" x14ac:dyDescent="0.25">
      <c r="A22" s="84">
        <f t="shared" si="0"/>
        <v>5.8999999999999932</v>
      </c>
      <c r="B22" s="73">
        <f>(Q2/Q28)*(A22*O28)</f>
        <v>10.837233354330696</v>
      </c>
      <c r="C22" s="85">
        <f>C2*A22</f>
        <v>167.24418479999983</v>
      </c>
      <c r="D22" s="86">
        <f>C22+D2</f>
        <v>267.24418479999986</v>
      </c>
      <c r="E22" s="87">
        <f>D22+E2</f>
        <v>276.84418479999988</v>
      </c>
      <c r="F22" s="88">
        <f>E22+F2</f>
        <v>286.10418479999987</v>
      </c>
      <c r="G22" s="89">
        <f>F22+G2</f>
        <v>301.53418479999988</v>
      </c>
      <c r="H22" s="90">
        <f>F22*O28</f>
        <v>18.539236460436715</v>
      </c>
      <c r="I22" s="91">
        <f>C22+I2</f>
        <v>292.24418479999986</v>
      </c>
      <c r="J22" s="87">
        <f>I22+J2</f>
        <v>301.84418479999988</v>
      </c>
      <c r="K22" s="92">
        <f>J22+K2</f>
        <v>311.10418479999987</v>
      </c>
      <c r="L22" s="93">
        <f>K22+L2</f>
        <v>326.53418479999988</v>
      </c>
      <c r="M22" s="94">
        <f>K22*O28</f>
        <v>20.159208960436715</v>
      </c>
      <c r="O22" s="26" t="s">
        <v>20</v>
      </c>
      <c r="P22" s="27" t="s">
        <v>22</v>
      </c>
      <c r="Q22" s="28" t="s">
        <v>21</v>
      </c>
      <c r="R22" s="29" t="s">
        <v>23</v>
      </c>
      <c r="S22" s="30"/>
    </row>
    <row r="23" spans="1:22" x14ac:dyDescent="0.2">
      <c r="A23" s="84">
        <f t="shared" si="0"/>
        <v>5.9999999999999929</v>
      </c>
      <c r="B23" s="73">
        <f>(Q2/Q28)*(A23*O28)</f>
        <v>11.020915275590539</v>
      </c>
      <c r="C23" s="85">
        <f>C2*A23</f>
        <v>170.07883199999981</v>
      </c>
      <c r="D23" s="86">
        <f>D2+C23</f>
        <v>270.07883199999981</v>
      </c>
      <c r="E23" s="87">
        <f>D23+E2</f>
        <v>279.67883199999983</v>
      </c>
      <c r="F23" s="88">
        <f>E23+F2</f>
        <v>288.93883199999982</v>
      </c>
      <c r="G23" s="89">
        <f>F23+G2</f>
        <v>304.36883199999983</v>
      </c>
      <c r="H23" s="90">
        <f>F23*O28</f>
        <v>18.72291848088479</v>
      </c>
      <c r="I23" s="91">
        <f>I2+C23</f>
        <v>295.07883199999981</v>
      </c>
      <c r="J23" s="87">
        <f>I23+J2</f>
        <v>304.67883199999983</v>
      </c>
      <c r="K23" s="92">
        <f>J23+K2</f>
        <v>313.93883199999982</v>
      </c>
      <c r="L23" s="93">
        <f>K23+L2</f>
        <v>329.36883199999983</v>
      </c>
      <c r="M23" s="94">
        <f>K23*O28</f>
        <v>20.342890980884789</v>
      </c>
      <c r="O23" s="31">
        <f>P16</f>
        <v>8</v>
      </c>
      <c r="P23" s="32">
        <f>Q3</f>
        <v>45</v>
      </c>
      <c r="Q23" s="33">
        <f>O23*P23</f>
        <v>360</v>
      </c>
      <c r="R23" s="34">
        <f>Q23*O28</f>
        <v>23.327604000000001</v>
      </c>
      <c r="S23" s="270" t="s">
        <v>3</v>
      </c>
      <c r="T23" s="270"/>
      <c r="U23" s="270"/>
      <c r="V23" s="271"/>
    </row>
    <row r="24" spans="1:22" x14ac:dyDescent="0.2">
      <c r="A24" s="84">
        <f t="shared" si="0"/>
        <v>6.0999999999999925</v>
      </c>
      <c r="B24" s="73">
        <f>(Q2/Q28)*(A24*O28)</f>
        <v>11.204597196850381</v>
      </c>
      <c r="C24" s="85">
        <f>C2*A24</f>
        <v>172.91347919999981</v>
      </c>
      <c r="D24" s="86">
        <f>D2+C24</f>
        <v>272.91347919999981</v>
      </c>
      <c r="E24" s="87">
        <f>D24+E2</f>
        <v>282.51347919999984</v>
      </c>
      <c r="F24" s="88">
        <f>E24+F2</f>
        <v>291.77347919999983</v>
      </c>
      <c r="G24" s="89">
        <f>F24+G2</f>
        <v>307.20347919999983</v>
      </c>
      <c r="H24" s="90">
        <f>F24*O28</f>
        <v>18.906600501332871</v>
      </c>
      <c r="I24" s="91">
        <f>I2+C24</f>
        <v>297.91347919999981</v>
      </c>
      <c r="J24" s="87">
        <f>I24+J2</f>
        <v>307.51347919999984</v>
      </c>
      <c r="K24" s="92">
        <f>J24+K2</f>
        <v>316.77347919999983</v>
      </c>
      <c r="L24" s="93">
        <f>K24+L2</f>
        <v>332.20347919999983</v>
      </c>
      <c r="M24" s="94">
        <f>K24*O28</f>
        <v>20.526573001332871</v>
      </c>
      <c r="O24" s="35">
        <f>P17</f>
        <v>9</v>
      </c>
      <c r="P24" s="36">
        <f>Q3</f>
        <v>45</v>
      </c>
      <c r="Q24" s="37">
        <f t="shared" ref="Q24:Q25" si="1">O24*P24</f>
        <v>405</v>
      </c>
      <c r="R24" s="38">
        <f>Q24*O28</f>
        <v>26.243554500000002</v>
      </c>
      <c r="S24" s="272" t="s">
        <v>4</v>
      </c>
      <c r="T24" s="272"/>
      <c r="U24" s="272"/>
      <c r="V24" s="273"/>
    </row>
    <row r="25" spans="1:22" ht="13.5" thickBot="1" x14ac:dyDescent="0.25">
      <c r="A25" s="84">
        <f t="shared" si="0"/>
        <v>6.1999999999999922</v>
      </c>
      <c r="B25" s="73">
        <f>(Q2/Q28)*(A25*O28)</f>
        <v>11.388279118110223</v>
      </c>
      <c r="C25" s="85">
        <f>C2*A25</f>
        <v>175.74812639999979</v>
      </c>
      <c r="D25" s="86">
        <f>D2+C25</f>
        <v>275.74812639999982</v>
      </c>
      <c r="E25" s="87">
        <f>D25+E2</f>
        <v>285.34812639999984</v>
      </c>
      <c r="F25" s="88">
        <f>E25+F2</f>
        <v>294.60812639999983</v>
      </c>
      <c r="G25" s="89">
        <f>F25+G2</f>
        <v>310.03812639999984</v>
      </c>
      <c r="H25" s="90">
        <f>F25*O28</f>
        <v>19.090282521780949</v>
      </c>
      <c r="I25" s="91">
        <f>I2+C25</f>
        <v>300.74812639999982</v>
      </c>
      <c r="J25" s="87">
        <f>I25+J2</f>
        <v>310.34812639999984</v>
      </c>
      <c r="K25" s="92">
        <f>J25+K2</f>
        <v>319.60812639999983</v>
      </c>
      <c r="L25" s="93">
        <f>K25+L2</f>
        <v>335.03812639999984</v>
      </c>
      <c r="M25" s="94">
        <f>K25*O28</f>
        <v>20.710255021780952</v>
      </c>
      <c r="O25" s="39">
        <f>P18</f>
        <v>10</v>
      </c>
      <c r="P25" s="40">
        <f>Q3</f>
        <v>45</v>
      </c>
      <c r="Q25" s="41">
        <f t="shared" si="1"/>
        <v>450</v>
      </c>
      <c r="R25" s="42">
        <f>Q25*O28</f>
        <v>29.159505000000003</v>
      </c>
      <c r="S25" s="274" t="s">
        <v>5</v>
      </c>
      <c r="T25" s="275"/>
      <c r="U25" s="275"/>
      <c r="V25" s="276"/>
    </row>
    <row r="26" spans="1:22" x14ac:dyDescent="0.2">
      <c r="A26" s="84">
        <f t="shared" si="0"/>
        <v>6.2999999999999918</v>
      </c>
      <c r="B26" s="73">
        <f>(Q2/Q28)*(A26*O28)</f>
        <v>11.571961039370064</v>
      </c>
      <c r="C26" s="85">
        <f>C2*A26</f>
        <v>178.58277359999977</v>
      </c>
      <c r="D26" s="86">
        <f>D2+C26</f>
        <v>278.58277359999977</v>
      </c>
      <c r="E26" s="87">
        <f>D26+E2</f>
        <v>288.18277359999979</v>
      </c>
      <c r="F26" s="88">
        <f>E26+F2</f>
        <v>297.44277359999978</v>
      </c>
      <c r="G26" s="89">
        <f>F26+G2</f>
        <v>312.87277359999979</v>
      </c>
      <c r="H26" s="90">
        <f>F26*O28</f>
        <v>19.273964542229027</v>
      </c>
      <c r="I26" s="91">
        <f>I2+C26</f>
        <v>303.58277359999977</v>
      </c>
      <c r="J26" s="87">
        <f>I26+J2</f>
        <v>313.18277359999979</v>
      </c>
      <c r="K26" s="92">
        <f>J26+K2</f>
        <v>322.44277359999978</v>
      </c>
      <c r="L26" s="93">
        <f>K26+L2</f>
        <v>337.87277359999979</v>
      </c>
      <c r="M26" s="94">
        <f>K26*O28</f>
        <v>20.893937042229027</v>
      </c>
    </row>
    <row r="27" spans="1:22" x14ac:dyDescent="0.2">
      <c r="A27" s="84">
        <f t="shared" si="0"/>
        <v>6.3999999999999915</v>
      </c>
      <c r="B27" s="73">
        <f>(Q2/Q28)*(A27*O28)</f>
        <v>11.755642960629906</v>
      </c>
      <c r="C27" s="85">
        <f>C2*A27</f>
        <v>181.41742079999977</v>
      </c>
      <c r="D27" s="86">
        <f>D2+C27</f>
        <v>281.41742079999977</v>
      </c>
      <c r="E27" s="87">
        <f>D27+E2</f>
        <v>291.0174207999998</v>
      </c>
      <c r="F27" s="88">
        <f>E27+F2</f>
        <v>300.27742079999979</v>
      </c>
      <c r="G27" s="89">
        <f>F27+G2</f>
        <v>315.7074207999998</v>
      </c>
      <c r="H27" s="90">
        <f>F27*O28</f>
        <v>19.457646562677109</v>
      </c>
      <c r="I27" s="91">
        <f>I2+C27</f>
        <v>306.41742079999977</v>
      </c>
      <c r="J27" s="87">
        <f>I27+J2</f>
        <v>316.0174207999998</v>
      </c>
      <c r="K27" s="92">
        <f>J27+K2</f>
        <v>325.27742079999979</v>
      </c>
      <c r="L27" s="93">
        <f>K27+L2</f>
        <v>340.7074207999998</v>
      </c>
      <c r="M27" s="94">
        <f>K27*O28</f>
        <v>21.077619062677108</v>
      </c>
    </row>
    <row r="28" spans="1:22" x14ac:dyDescent="0.2">
      <c r="A28" s="84">
        <f t="shared" si="0"/>
        <v>6.4999999999999911</v>
      </c>
      <c r="B28" s="73">
        <f>(Q2/Q28)*(A28*O28)</f>
        <v>11.939324881889748</v>
      </c>
      <c r="C28" s="85">
        <f>C2*A28</f>
        <v>184.25206799999975</v>
      </c>
      <c r="D28" s="86">
        <f>D2+C28</f>
        <v>284.25206799999978</v>
      </c>
      <c r="E28" s="87">
        <f>D28+E2</f>
        <v>293.8520679999998</v>
      </c>
      <c r="F28" s="88">
        <f>E28+F2</f>
        <v>303.11206799999979</v>
      </c>
      <c r="G28" s="89">
        <f>F28+G2</f>
        <v>318.5420679999998</v>
      </c>
      <c r="H28" s="90">
        <f>F28*O28</f>
        <v>19.641328583125187</v>
      </c>
      <c r="I28" s="91">
        <f>I2+C28</f>
        <v>309.25206799999978</v>
      </c>
      <c r="J28" s="87">
        <f>I28+J2</f>
        <v>318.8520679999998</v>
      </c>
      <c r="K28" s="92">
        <f>J28+K2</f>
        <v>328.11206799999979</v>
      </c>
      <c r="L28" s="93">
        <f>K28+L2</f>
        <v>343.5420679999998</v>
      </c>
      <c r="M28" s="94">
        <f>K28*O28</f>
        <v>21.26130108312519</v>
      </c>
      <c r="O28" s="1">
        <v>6.4798900000000006E-2</v>
      </c>
      <c r="P28" s="1">
        <v>0.453592</v>
      </c>
      <c r="Q28" s="1">
        <v>2.54</v>
      </c>
    </row>
    <row r="29" spans="1:22" x14ac:dyDescent="0.2">
      <c r="A29" s="84">
        <f t="shared" si="0"/>
        <v>6.5999999999999908</v>
      </c>
      <c r="B29" s="73">
        <f>(Q2/Q28)*(A29*O28)</f>
        <v>12.12300680314959</v>
      </c>
      <c r="C29" s="85">
        <f>C2*A29</f>
        <v>187.08671519999976</v>
      </c>
      <c r="D29" s="86">
        <f>D2+C29</f>
        <v>287.08671519999973</v>
      </c>
      <c r="E29" s="87">
        <f>D29+E2</f>
        <v>296.68671519999975</v>
      </c>
      <c r="F29" s="88">
        <f>E29+F2</f>
        <v>305.94671519999974</v>
      </c>
      <c r="G29" s="89">
        <f>F29+G2</f>
        <v>321.37671519999975</v>
      </c>
      <c r="H29" s="90">
        <f>F29*O28</f>
        <v>19.825010603573265</v>
      </c>
      <c r="I29" s="91">
        <f>I2+C29</f>
        <v>312.08671519999973</v>
      </c>
      <c r="J29" s="87">
        <f>I29+J2</f>
        <v>321.68671519999975</v>
      </c>
      <c r="K29" s="92">
        <f>J29+K2</f>
        <v>330.94671519999974</v>
      </c>
      <c r="L29" s="93">
        <f>K29+L2</f>
        <v>346.37671519999975</v>
      </c>
      <c r="M29" s="94">
        <f>K29*O28</f>
        <v>21.444983103573264</v>
      </c>
      <c r="Q29" s="1"/>
    </row>
    <row r="30" spans="1:22" x14ac:dyDescent="0.2">
      <c r="A30" s="84">
        <f t="shared" si="0"/>
        <v>6.6999999999999904</v>
      </c>
      <c r="B30" s="73">
        <f>(Q2/Q28)*(A30*O28)</f>
        <v>12.306688724409433</v>
      </c>
      <c r="C30" s="85">
        <f>C2*A30</f>
        <v>189.92136239999974</v>
      </c>
      <c r="D30" s="86">
        <f>D2+C30</f>
        <v>289.92136239999974</v>
      </c>
      <c r="E30" s="87">
        <f>D30+E2</f>
        <v>299.52136239999976</v>
      </c>
      <c r="F30" s="88">
        <f>E30+F2</f>
        <v>308.78136239999975</v>
      </c>
      <c r="G30" s="89">
        <f>F30+G2</f>
        <v>324.21136239999976</v>
      </c>
      <c r="H30" s="90">
        <f>F30*O28</f>
        <v>20.008692624021347</v>
      </c>
      <c r="I30" s="91">
        <f>I2+C30</f>
        <v>314.92136239999974</v>
      </c>
      <c r="J30" s="87">
        <f>I30+J2</f>
        <v>324.52136239999976</v>
      </c>
      <c r="K30" s="92">
        <f>J30+K2</f>
        <v>333.78136239999975</v>
      </c>
      <c r="L30" s="93">
        <f>K30+L2</f>
        <v>349.21136239999976</v>
      </c>
      <c r="M30" s="94">
        <f>K30*O28</f>
        <v>21.628665124021346</v>
      </c>
    </row>
    <row r="31" spans="1:22" x14ac:dyDescent="0.2">
      <c r="A31" s="72">
        <f t="shared" si="0"/>
        <v>6.7999999999999901</v>
      </c>
      <c r="B31" s="73">
        <f>(Q2/Q28)*(A31*O28)</f>
        <v>12.490370645669275</v>
      </c>
      <c r="C31" s="74">
        <f>C2*A31</f>
        <v>192.75600959999974</v>
      </c>
      <c r="D31" s="75">
        <f>D2+C31</f>
        <v>292.75600959999974</v>
      </c>
      <c r="E31" s="76">
        <f>D31+E2</f>
        <v>302.35600959999977</v>
      </c>
      <c r="F31" s="77">
        <f>E31+F2</f>
        <v>311.61600959999976</v>
      </c>
      <c r="G31" s="78">
        <f>F31+G2</f>
        <v>327.04600959999976</v>
      </c>
      <c r="H31" s="79">
        <f>F31*O28</f>
        <v>20.192374644469425</v>
      </c>
      <c r="I31" s="80">
        <f>I2+C31</f>
        <v>317.75600959999974</v>
      </c>
      <c r="J31" s="76">
        <f>I31+J2</f>
        <v>327.35600959999977</v>
      </c>
      <c r="K31" s="81">
        <f>J31+K2</f>
        <v>336.61600959999976</v>
      </c>
      <c r="L31" s="82">
        <f>K31+L2</f>
        <v>352.04600959999976</v>
      </c>
      <c r="M31" s="83">
        <f>K31*O28</f>
        <v>21.812347144469427</v>
      </c>
    </row>
    <row r="32" spans="1:22" x14ac:dyDescent="0.2">
      <c r="A32" s="72">
        <f t="shared" si="0"/>
        <v>6.8999999999999897</v>
      </c>
      <c r="B32" s="73">
        <f>(Q2/Q28)*(A32*O28)</f>
        <v>12.674052566929115</v>
      </c>
      <c r="C32" s="74">
        <f>C2*A32</f>
        <v>195.59065679999972</v>
      </c>
      <c r="D32" s="75">
        <f>D2+C32</f>
        <v>295.59065679999969</v>
      </c>
      <c r="E32" s="76">
        <f>D32+E2</f>
        <v>305.19065679999972</v>
      </c>
      <c r="F32" s="77">
        <f>E32+F2</f>
        <v>314.45065679999971</v>
      </c>
      <c r="G32" s="78">
        <f>F32+G2</f>
        <v>329.88065679999971</v>
      </c>
      <c r="H32" s="79">
        <f>F32*O28</f>
        <v>20.376056664917503</v>
      </c>
      <c r="I32" s="80">
        <f>I2+C32</f>
        <v>320.59065679999969</v>
      </c>
      <c r="J32" s="76">
        <f>I32+J2</f>
        <v>330.19065679999972</v>
      </c>
      <c r="K32" s="81">
        <f>J32+K2</f>
        <v>339.45065679999971</v>
      </c>
      <c r="L32" s="82">
        <f>K32+L30</f>
        <v>688.66201919999946</v>
      </c>
      <c r="M32" s="83">
        <f>K32*O28</f>
        <v>21.996029164917502</v>
      </c>
    </row>
    <row r="33" spans="1:13" x14ac:dyDescent="0.2">
      <c r="A33" s="72">
        <f t="shared" si="0"/>
        <v>6.9999999999999893</v>
      </c>
      <c r="B33" s="73">
        <f>(Q2/Q28)*(A33*O28)</f>
        <v>12.857734488188957</v>
      </c>
      <c r="C33" s="74">
        <f>C2*A33</f>
        <v>198.4253039999997</v>
      </c>
      <c r="D33" s="75">
        <f>D2+C33</f>
        <v>298.4253039999997</v>
      </c>
      <c r="E33" s="76">
        <f>D33+E2</f>
        <v>308.02530399999972</v>
      </c>
      <c r="F33" s="77">
        <f>E33+F2</f>
        <v>317.28530399999971</v>
      </c>
      <c r="G33" s="78">
        <f>F33+G2</f>
        <v>332.71530399999972</v>
      </c>
      <c r="H33" s="79">
        <f>F33*O28</f>
        <v>20.559738685365584</v>
      </c>
      <c r="I33" s="80">
        <f>I2+C33</f>
        <v>323.4253039999997</v>
      </c>
      <c r="J33" s="76">
        <f>I33+J2</f>
        <v>333.02530399999972</v>
      </c>
      <c r="K33" s="81">
        <f>J33+K2</f>
        <v>342.28530399999971</v>
      </c>
      <c r="L33" s="82">
        <f>K33+L2</f>
        <v>357.71530399999972</v>
      </c>
      <c r="M33" s="83">
        <f>K33*O28</f>
        <v>22.179711185365584</v>
      </c>
    </row>
    <row r="34" spans="1:13" x14ac:dyDescent="0.2">
      <c r="A34" s="72">
        <f t="shared" si="0"/>
        <v>7.099999999999989</v>
      </c>
      <c r="B34" s="73">
        <f>(Q2/Q28)*(A34*O28)</f>
        <v>13.0414164094488</v>
      </c>
      <c r="C34" s="74">
        <f>C2*A34</f>
        <v>201.2599511999997</v>
      </c>
      <c r="D34" s="75">
        <f>D2+C34</f>
        <v>301.2599511999997</v>
      </c>
      <c r="E34" s="76">
        <f>D34+E2</f>
        <v>310.85995119999973</v>
      </c>
      <c r="F34" s="77">
        <f>E34+F2</f>
        <v>320.11995119999972</v>
      </c>
      <c r="G34" s="78">
        <f>F34+G2</f>
        <v>335.54995119999973</v>
      </c>
      <c r="H34" s="79">
        <f>F34*O28</f>
        <v>20.743420705813662</v>
      </c>
      <c r="I34" s="80">
        <f>I2+C34</f>
        <v>326.2599511999997</v>
      </c>
      <c r="J34" s="76">
        <f>I34+J2</f>
        <v>335.85995119999973</v>
      </c>
      <c r="K34" s="81">
        <f>J34+K2</f>
        <v>345.11995119999972</v>
      </c>
      <c r="L34" s="82">
        <f>K34+L2</f>
        <v>360.54995119999973</v>
      </c>
      <c r="M34" s="83">
        <f>K34*O28</f>
        <v>22.363393205813665</v>
      </c>
    </row>
    <row r="35" spans="1:13" x14ac:dyDescent="0.2">
      <c r="A35" s="72">
        <f t="shared" si="0"/>
        <v>7.1999999999999886</v>
      </c>
      <c r="B35" s="73">
        <f>(Q2/Q28)*(A35*O28)</f>
        <v>13.225098330708642</v>
      </c>
      <c r="C35" s="74">
        <f>C2*A35</f>
        <v>204.09459839999968</v>
      </c>
      <c r="D35" s="75">
        <f>D2+C35</f>
        <v>304.09459839999965</v>
      </c>
      <c r="E35" s="76">
        <f>D35+E2</f>
        <v>313.69459839999968</v>
      </c>
      <c r="F35" s="77">
        <f>E35+F2</f>
        <v>322.95459839999967</v>
      </c>
      <c r="G35" s="78">
        <f>F35+G2</f>
        <v>338.38459839999967</v>
      </c>
      <c r="H35" s="79">
        <f>F35*O28</f>
        <v>20.92710272626174</v>
      </c>
      <c r="I35" s="80">
        <f>I2+C35</f>
        <v>329.09459839999965</v>
      </c>
      <c r="J35" s="76">
        <f>I35+J2</f>
        <v>338.69459839999968</v>
      </c>
      <c r="K35" s="81">
        <f>J35+K2</f>
        <v>347.95459839999967</v>
      </c>
      <c r="L35" s="82">
        <f>K35+L2</f>
        <v>363.38459839999967</v>
      </c>
      <c r="M35" s="83">
        <f>K35*O28</f>
        <v>22.54707522626174</v>
      </c>
    </row>
    <row r="36" spans="1:13" x14ac:dyDescent="0.2">
      <c r="A36" s="72">
        <f t="shared" si="0"/>
        <v>7.2999999999999883</v>
      </c>
      <c r="B36" s="95">
        <f>(Q2/Q28)*(A36*O28)</f>
        <v>13.408780251968484</v>
      </c>
      <c r="C36" s="74">
        <f>C2*A36</f>
        <v>206.92924559999969</v>
      </c>
      <c r="D36" s="75">
        <f>D2+C36</f>
        <v>306.92924559999972</v>
      </c>
      <c r="E36" s="76">
        <f>D36+E2</f>
        <v>316.52924559999974</v>
      </c>
      <c r="F36" s="77">
        <f>E36+F2</f>
        <v>325.78924559999973</v>
      </c>
      <c r="G36" s="78">
        <f>F36+G2</f>
        <v>341.21924559999974</v>
      </c>
      <c r="H36" s="79">
        <f>F36*O28</f>
        <v>21.110784746709825</v>
      </c>
      <c r="I36" s="80">
        <f>I2+C36</f>
        <v>331.92924559999972</v>
      </c>
      <c r="J36" s="76">
        <f>I36+J2</f>
        <v>341.52924559999974</v>
      </c>
      <c r="K36" s="81">
        <f>J36+K2</f>
        <v>350.78924559999973</v>
      </c>
      <c r="L36" s="82">
        <f>K36+L2</f>
        <v>366.21924559999974</v>
      </c>
      <c r="M36" s="83">
        <f>K36*O28</f>
        <v>22.730757246709825</v>
      </c>
    </row>
    <row r="37" spans="1:13" x14ac:dyDescent="0.2">
      <c r="A37" s="72">
        <f t="shared" si="0"/>
        <v>7.3999999999999879</v>
      </c>
      <c r="B37" s="95">
        <f>(Q2/Q28)*(A37*O28)</f>
        <v>13.592462173228325</v>
      </c>
      <c r="C37" s="74">
        <f>C2*A37</f>
        <v>209.76389279999967</v>
      </c>
      <c r="D37" s="75">
        <f>D2+C37</f>
        <v>309.76389279999967</v>
      </c>
      <c r="E37" s="76">
        <f>D37+E2</f>
        <v>319.36389279999969</v>
      </c>
      <c r="F37" s="77">
        <f>E37+F2</f>
        <v>328.62389279999968</v>
      </c>
      <c r="G37" s="78">
        <f>F37+G2</f>
        <v>344.05389279999969</v>
      </c>
      <c r="H37" s="79">
        <f>F37*O28</f>
        <v>21.2944667671579</v>
      </c>
      <c r="I37" s="80">
        <f>I2+C37</f>
        <v>334.76389279999967</v>
      </c>
      <c r="J37" s="76">
        <f>I37+J2</f>
        <v>344.36389279999969</v>
      </c>
      <c r="K37" s="81">
        <f>J37+K2</f>
        <v>353.62389279999968</v>
      </c>
      <c r="L37" s="82">
        <f>K37+L2</f>
        <v>369.05389279999969</v>
      </c>
      <c r="M37" s="83">
        <f>K37*O28</f>
        <v>22.914439267157903</v>
      </c>
    </row>
    <row r="38" spans="1:13" x14ac:dyDescent="0.2">
      <c r="A38" s="72">
        <f t="shared" si="0"/>
        <v>7.4999999999999876</v>
      </c>
      <c r="B38" s="95">
        <f>(Q2/Q28)*(A38*O28)</f>
        <v>13.776144094488167</v>
      </c>
      <c r="C38" s="74">
        <f>C2*A38</f>
        <v>212.59853999999967</v>
      </c>
      <c r="D38" s="75">
        <f>D2+C38</f>
        <v>312.59853999999967</v>
      </c>
      <c r="E38" s="76">
        <f>D38+E2</f>
        <v>322.1985399999997</v>
      </c>
      <c r="F38" s="77">
        <f>E38+F2</f>
        <v>331.45853999999969</v>
      </c>
      <c r="G38" s="78">
        <f>F38+G2</f>
        <v>346.88853999999969</v>
      </c>
      <c r="H38" s="79">
        <f>F38*O28</f>
        <v>21.478148787605981</v>
      </c>
      <c r="I38" s="80">
        <f>I2+C38</f>
        <v>337.59853999999967</v>
      </c>
      <c r="J38" s="76">
        <f>I38+J2</f>
        <v>347.1985399999997</v>
      </c>
      <c r="K38" s="81">
        <f>J38+K2</f>
        <v>356.45853999999969</v>
      </c>
      <c r="L38" s="82">
        <f>K38+L2</f>
        <v>371.88853999999969</v>
      </c>
      <c r="M38" s="83">
        <f>K38*O28</f>
        <v>23.098121287605981</v>
      </c>
    </row>
    <row r="39" spans="1:13" x14ac:dyDescent="0.2">
      <c r="A39" s="72">
        <f t="shared" si="0"/>
        <v>7.5999999999999872</v>
      </c>
      <c r="B39" s="95">
        <f>(Q2/Q28)*(A39*O28)</f>
        <v>13.959826015748009</v>
      </c>
      <c r="C39" s="74">
        <f>C2*A39</f>
        <v>215.43318719999965</v>
      </c>
      <c r="D39" s="75">
        <f>D2+C39</f>
        <v>315.43318719999968</v>
      </c>
      <c r="E39" s="76">
        <f>D39+E2</f>
        <v>325.0331871999997</v>
      </c>
      <c r="F39" s="77">
        <f>E39+F2</f>
        <v>334.29318719999969</v>
      </c>
      <c r="G39" s="78">
        <f>F39+G2</f>
        <v>349.7231871999997</v>
      </c>
      <c r="H39" s="79">
        <f>F39*O28</f>
        <v>21.661830808054063</v>
      </c>
      <c r="I39" s="80">
        <f>I2+C39</f>
        <v>340.43318719999968</v>
      </c>
      <c r="J39" s="76">
        <f>I39+J2</f>
        <v>350.0331871999997</v>
      </c>
      <c r="K39" s="81">
        <f>J39+K2</f>
        <v>359.29318719999969</v>
      </c>
      <c r="L39" s="82">
        <f>K39+L2</f>
        <v>374.7231871999997</v>
      </c>
      <c r="M39" s="83">
        <f>K39*O28</f>
        <v>23.281803308054062</v>
      </c>
    </row>
    <row r="40" spans="1:13" x14ac:dyDescent="0.2">
      <c r="A40" s="72">
        <f t="shared" si="0"/>
        <v>7.6999999999999869</v>
      </c>
      <c r="B40" s="95">
        <f>(Q2/Q28)*(A40*O28)</f>
        <v>14.14350793700785</v>
      </c>
      <c r="C40" s="74">
        <f>C2*A40</f>
        <v>218.26783439999966</v>
      </c>
      <c r="D40" s="75">
        <f>D2+C40</f>
        <v>318.26783439999963</v>
      </c>
      <c r="E40" s="76">
        <f>D40+E2</f>
        <v>327.86783439999965</v>
      </c>
      <c r="F40" s="77">
        <f>E40+F2</f>
        <v>337.12783439999964</v>
      </c>
      <c r="G40" s="78">
        <f>F40+G2</f>
        <v>352.55783439999965</v>
      </c>
      <c r="H40" s="79">
        <f>F40*O28</f>
        <v>21.845512828502137</v>
      </c>
      <c r="I40" s="80">
        <f>I2+C40</f>
        <v>343.26783439999963</v>
      </c>
      <c r="J40" s="76">
        <f>I40+J2</f>
        <v>352.86783439999965</v>
      </c>
      <c r="K40" s="81">
        <f>J40+K2</f>
        <v>362.12783439999964</v>
      </c>
      <c r="L40" s="82">
        <f>K40+L2</f>
        <v>377.55783439999965</v>
      </c>
      <c r="M40" s="83">
        <f>K40*O28</f>
        <v>23.46548532850214</v>
      </c>
    </row>
    <row r="41" spans="1:13" ht="13.5" thickBot="1" x14ac:dyDescent="0.25">
      <c r="A41" s="96">
        <f t="shared" si="0"/>
        <v>7.7999999999999865</v>
      </c>
      <c r="B41" s="97">
        <f>(Q2/Q28)*(A41*O28)</f>
        <v>14.327189858267694</v>
      </c>
      <c r="C41" s="98">
        <f>C2*A41</f>
        <v>221.10248159999963</v>
      </c>
      <c r="D41" s="99">
        <f>D2+C41</f>
        <v>321.10248159999963</v>
      </c>
      <c r="E41" s="100">
        <f>D41+E2</f>
        <v>330.70248159999966</v>
      </c>
      <c r="F41" s="101">
        <f>E41+F2</f>
        <v>339.96248159999965</v>
      </c>
      <c r="G41" s="102">
        <f>F41+G2</f>
        <v>355.39248159999966</v>
      </c>
      <c r="H41" s="103">
        <f>F41*O28</f>
        <v>22.029194848950219</v>
      </c>
      <c r="I41" s="104">
        <f>I2+C41</f>
        <v>346.10248159999963</v>
      </c>
      <c r="J41" s="100">
        <f>I41+J2</f>
        <v>355.70248159999966</v>
      </c>
      <c r="K41" s="105">
        <f>J41+K2</f>
        <v>364.96248159999965</v>
      </c>
      <c r="L41" s="106">
        <f>K41+L2</f>
        <v>380.39248159999966</v>
      </c>
      <c r="M41" s="107">
        <f>K41*O28</f>
        <v>23.649167348950218</v>
      </c>
    </row>
  </sheetData>
  <sheetProtection algorithmName="SHA-512" hashValue="Z2+I+nwWc0I8NbFscaDkPmCcGo8vbT25nO2kcwMcgwKxrE05jn7lJ3mWNhPOeZBRs1HHUtiBTLxU08C8GgmTYw==" saltValue="tmW4eplCzGnkgqaOz7zDEw==" spinCount="100000" sheet="1" selectLockedCells="1"/>
  <protectedRanges>
    <protectedRange sqref="Q2:Q4 Q7:Q11 P16:P18 S16:S18" name="Plage1"/>
  </protectedRanges>
  <mergeCells count="15">
    <mergeCell ref="O15:P15"/>
    <mergeCell ref="R15:S15"/>
    <mergeCell ref="S23:V23"/>
    <mergeCell ref="S24:V24"/>
    <mergeCell ref="S25:V25"/>
    <mergeCell ref="O4:P4"/>
    <mergeCell ref="O1:P1"/>
    <mergeCell ref="O3:P3"/>
    <mergeCell ref="O2:P2"/>
    <mergeCell ref="R11:U11"/>
    <mergeCell ref="R10:U10"/>
    <mergeCell ref="R9:U9"/>
    <mergeCell ref="R8:U8"/>
    <mergeCell ref="R7:U7"/>
    <mergeCell ref="O7:P11"/>
  </mergeCells>
  <phoneticPr fontId="1" type="noConversion"/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r:id="rId1"/>
  <headerFooter>
    <oddHeader>&amp;L&amp;D&amp;CArchers Du Moulon&amp;R&amp;F</oddHeader>
    <oddFooter>&amp;LCyril ANDREINI&amp;C&amp;A&amp;RPage &amp;P/&amp;N</oddFooter>
  </headerFooter>
  <colBreaks count="1" manualBreakCount="1">
    <brk id="13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146E3-9E44-4DB2-A38C-F7B1AD0D8463}">
  <sheetPr codeName="Feuil4"/>
  <dimension ref="A1:U53"/>
  <sheetViews>
    <sheetView showGridLines="0" showRowColHeaders="0" view="pageBreakPreview" zoomScaleNormal="100" zoomScaleSheetLayoutView="100" workbookViewId="0">
      <pane ySplit="3" topLeftCell="A4" activePane="bottomLeft" state="frozenSplit"/>
      <selection pane="bottomLeft" activeCell="A7" sqref="A7 N19"/>
    </sheetView>
  </sheetViews>
  <sheetFormatPr baseColWidth="10" defaultRowHeight="15" x14ac:dyDescent="0.25"/>
  <cols>
    <col min="1" max="1" width="9.7109375" style="138" bestFit="1" customWidth="1"/>
    <col min="2" max="2" width="9.7109375" style="139" bestFit="1" customWidth="1"/>
    <col min="3" max="3" width="6.140625" bestFit="1" customWidth="1"/>
    <col min="4" max="4" width="12.7109375" style="140" bestFit="1" customWidth="1"/>
    <col min="5" max="5" width="12" bestFit="1" customWidth="1"/>
    <col min="6" max="6" width="3.140625" customWidth="1"/>
    <col min="7" max="7" width="9.7109375" customWidth="1"/>
    <col min="8" max="8" width="9.7109375" bestFit="1" customWidth="1"/>
    <col min="9" max="9" width="6.140625" bestFit="1" customWidth="1"/>
    <col min="10" max="10" width="12.7109375" bestFit="1" customWidth="1"/>
    <col min="11" max="11" width="12" customWidth="1"/>
    <col min="12" max="12" width="3.140625" customWidth="1"/>
    <col min="13" max="13" width="9.7109375" customWidth="1"/>
    <col min="14" max="14" width="9.7109375" bestFit="1" customWidth="1"/>
    <col min="15" max="15" width="6.140625" bestFit="1" customWidth="1"/>
    <col min="16" max="16" width="12.7109375" bestFit="1" customWidth="1"/>
    <col min="17" max="17" width="12" customWidth="1"/>
    <col min="18" max="18" width="3.140625" customWidth="1"/>
    <col min="19" max="19" width="76.140625" bestFit="1" customWidth="1"/>
    <col min="20" max="20" width="15.5703125" bestFit="1" customWidth="1"/>
    <col min="21" max="21" width="21.5703125" bestFit="1" customWidth="1"/>
  </cols>
  <sheetData>
    <row r="1" spans="1:19" x14ac:dyDescent="0.25">
      <c r="A1" s="278" t="s">
        <v>47</v>
      </c>
      <c r="B1" s="278"/>
      <c r="C1" s="278"/>
      <c r="D1" s="278"/>
      <c r="E1" s="278"/>
      <c r="F1" s="277"/>
      <c r="G1" s="278" t="s">
        <v>47</v>
      </c>
      <c r="H1" s="278"/>
      <c r="I1" s="278"/>
      <c r="J1" s="278"/>
      <c r="K1" s="278"/>
      <c r="L1" s="277"/>
      <c r="M1" s="278" t="s">
        <v>47</v>
      </c>
      <c r="N1" s="278"/>
      <c r="O1" s="278"/>
      <c r="P1" s="278"/>
      <c r="Q1" s="278"/>
      <c r="R1" s="277"/>
    </row>
    <row r="2" spans="1:19" ht="30" x14ac:dyDescent="0.25">
      <c r="A2" s="121" t="s">
        <v>48</v>
      </c>
      <c r="B2" s="122" t="s">
        <v>49</v>
      </c>
      <c r="C2" s="160" t="s">
        <v>99</v>
      </c>
      <c r="D2" s="121" t="s">
        <v>82</v>
      </c>
      <c r="E2" s="123" t="s">
        <v>50</v>
      </c>
      <c r="F2" s="277"/>
      <c r="G2" s="121" t="s">
        <v>48</v>
      </c>
      <c r="H2" s="122" t="s">
        <v>81</v>
      </c>
      <c r="I2" s="160" t="s">
        <v>99</v>
      </c>
      <c r="J2" s="121" t="s">
        <v>82</v>
      </c>
      <c r="K2" s="123" t="s">
        <v>50</v>
      </c>
      <c r="L2" s="277"/>
      <c r="M2" s="121" t="s">
        <v>48</v>
      </c>
      <c r="N2" s="122" t="s">
        <v>81</v>
      </c>
      <c r="O2" s="160" t="s">
        <v>99</v>
      </c>
      <c r="P2" s="121" t="s">
        <v>82</v>
      </c>
      <c r="Q2" s="123" t="s">
        <v>50</v>
      </c>
      <c r="R2" s="277"/>
    </row>
    <row r="3" spans="1:19" ht="30" x14ac:dyDescent="0.25">
      <c r="A3" s="121"/>
      <c r="B3" s="124" t="s">
        <v>51</v>
      </c>
      <c r="C3" s="160" t="s">
        <v>108</v>
      </c>
      <c r="D3" s="125" t="s">
        <v>52</v>
      </c>
      <c r="E3" s="126" t="s">
        <v>53</v>
      </c>
      <c r="F3" s="277"/>
      <c r="G3" s="121"/>
      <c r="H3" s="124" t="s">
        <v>51</v>
      </c>
      <c r="I3" s="160" t="s">
        <v>108</v>
      </c>
      <c r="J3" s="125" t="s">
        <v>52</v>
      </c>
      <c r="K3" s="126" t="s">
        <v>53</v>
      </c>
      <c r="L3" s="277"/>
      <c r="M3" s="121"/>
      <c r="N3" s="124" t="s">
        <v>51</v>
      </c>
      <c r="O3" s="160" t="s">
        <v>108</v>
      </c>
      <c r="P3" s="125" t="s">
        <v>52</v>
      </c>
      <c r="Q3" s="126" t="s">
        <v>53</v>
      </c>
      <c r="R3" s="277"/>
    </row>
    <row r="4" spans="1:19" x14ac:dyDescent="0.25">
      <c r="A4" s="127">
        <f>$A$7*B4</f>
        <v>44.026666666666664</v>
      </c>
      <c r="B4" s="128">
        <f>$C$7/C4</f>
        <v>1.7333333333333334</v>
      </c>
      <c r="C4" s="129">
        <v>15</v>
      </c>
      <c r="D4" s="130">
        <f>$D$7*B4</f>
        <v>2100.8000000000002</v>
      </c>
      <c r="E4" s="130">
        <f t="shared" ref="E4:E52" si="0">31.5/B4</f>
        <v>18.173076923076923</v>
      </c>
      <c r="F4" s="277"/>
      <c r="G4" s="127">
        <f t="shared" ref="G4:G52" si="1">$A$7*H4</f>
        <v>9.1722222222222207</v>
      </c>
      <c r="H4" s="128">
        <f t="shared" ref="H4:H52" si="2">$C$7/I4</f>
        <v>0.3611111111111111</v>
      </c>
      <c r="I4" s="129">
        <v>72</v>
      </c>
      <c r="J4" s="130">
        <f t="shared" ref="J4:J5" si="3">$D$7*H4</f>
        <v>437.66666666666669</v>
      </c>
      <c r="K4" s="130">
        <f t="shared" ref="K4:K52" si="4">31.5/H4</f>
        <v>87.230769230769226</v>
      </c>
      <c r="L4" s="277"/>
      <c r="M4" s="127">
        <f t="shared" ref="M4:M40" si="5">$A$7*N4</f>
        <v>5.41311475409836</v>
      </c>
      <c r="N4" s="128">
        <f t="shared" ref="N4:N40" si="6">$C$7/O4</f>
        <v>0.21311475409836064</v>
      </c>
      <c r="O4" s="129">
        <v>122</v>
      </c>
      <c r="P4" s="130">
        <f t="shared" ref="P4:P40" si="7">$D$7*N4</f>
        <v>258.29508196721309</v>
      </c>
      <c r="Q4" s="130">
        <f t="shared" ref="Q4:Q40" si="8">31.5/N4</f>
        <v>147.80769230769232</v>
      </c>
      <c r="R4" s="277"/>
      <c r="S4" s="158" t="s">
        <v>54</v>
      </c>
    </row>
    <row r="5" spans="1:19" x14ac:dyDescent="0.25">
      <c r="A5" s="127">
        <f>$A$7*B5</f>
        <v>33.019999999999996</v>
      </c>
      <c r="B5" s="128">
        <f>$C$7/C5</f>
        <v>1.3</v>
      </c>
      <c r="C5" s="129">
        <v>20</v>
      </c>
      <c r="D5" s="130">
        <f>$D$7*B5</f>
        <v>1575.6000000000001</v>
      </c>
      <c r="E5" s="130">
        <f t="shared" si="0"/>
        <v>24.23076923076923</v>
      </c>
      <c r="F5" s="277"/>
      <c r="G5" s="127">
        <f t="shared" si="1"/>
        <v>9.0465753424657525</v>
      </c>
      <c r="H5" s="128">
        <f t="shared" si="2"/>
        <v>0.35616438356164382</v>
      </c>
      <c r="I5" s="129">
        <v>73</v>
      </c>
      <c r="J5" s="130">
        <f t="shared" si="3"/>
        <v>431.67123287671228</v>
      </c>
      <c r="K5" s="130">
        <f t="shared" si="4"/>
        <v>88.442307692307693</v>
      </c>
      <c r="L5" s="277"/>
      <c r="M5" s="127">
        <f t="shared" si="5"/>
        <v>5.3691056910569106</v>
      </c>
      <c r="N5" s="128">
        <f t="shared" si="6"/>
        <v>0.21138211382113822</v>
      </c>
      <c r="O5" s="129">
        <v>123</v>
      </c>
      <c r="P5" s="130">
        <f t="shared" si="7"/>
        <v>256.19512195121951</v>
      </c>
      <c r="Q5" s="130">
        <f t="shared" si="8"/>
        <v>149.01923076923077</v>
      </c>
      <c r="R5" s="277"/>
      <c r="S5" s="137" t="s">
        <v>55</v>
      </c>
    </row>
    <row r="6" spans="1:19" x14ac:dyDescent="0.25">
      <c r="A6" s="127">
        <f>$A$7*B6</f>
        <v>26.416</v>
      </c>
      <c r="B6" s="128">
        <f>$C$7/C6</f>
        <v>1.04</v>
      </c>
      <c r="C6" s="129">
        <v>25</v>
      </c>
      <c r="D6" s="130">
        <f>$D$7*B6</f>
        <v>1260.48</v>
      </c>
      <c r="E6" s="130">
        <f t="shared" si="0"/>
        <v>30.288461538461537</v>
      </c>
      <c r="F6" s="277"/>
      <c r="G6" s="127">
        <f t="shared" si="1"/>
        <v>8.9243243243243242</v>
      </c>
      <c r="H6" s="128">
        <f t="shared" si="2"/>
        <v>0.35135135135135137</v>
      </c>
      <c r="I6" s="129">
        <v>74</v>
      </c>
      <c r="J6" s="130">
        <f>$D$7*H6</f>
        <v>425.83783783783787</v>
      </c>
      <c r="K6" s="130">
        <f t="shared" si="4"/>
        <v>89.653846153846146</v>
      </c>
      <c r="L6" s="277"/>
      <c r="M6" s="127">
        <f t="shared" si="5"/>
        <v>5.3258064516129036</v>
      </c>
      <c r="N6" s="128">
        <f t="shared" si="6"/>
        <v>0.20967741935483872</v>
      </c>
      <c r="O6" s="129">
        <v>124</v>
      </c>
      <c r="P6" s="130">
        <f t="shared" si="7"/>
        <v>254.12903225806451</v>
      </c>
      <c r="Q6" s="130">
        <f t="shared" si="8"/>
        <v>150.23076923076923</v>
      </c>
      <c r="R6" s="277"/>
      <c r="S6" s="137" t="s">
        <v>56</v>
      </c>
    </row>
    <row r="7" spans="1:19" ht="15.75" x14ac:dyDescent="0.25">
      <c r="A7" s="131">
        <v>25.4</v>
      </c>
      <c r="B7" s="132">
        <v>1</v>
      </c>
      <c r="C7" s="133">
        <v>26</v>
      </c>
      <c r="D7" s="134">
        <v>1212</v>
      </c>
      <c r="E7" s="131">
        <f t="shared" si="0"/>
        <v>31.5</v>
      </c>
      <c r="F7" s="277"/>
      <c r="G7" s="127">
        <f t="shared" si="1"/>
        <v>8.8053333333333335</v>
      </c>
      <c r="H7" s="128">
        <f t="shared" si="2"/>
        <v>0.34666666666666668</v>
      </c>
      <c r="I7" s="129">
        <v>75</v>
      </c>
      <c r="J7" s="130">
        <f t="shared" ref="J7:J52" si="9">$D$7*H7</f>
        <v>420.16</v>
      </c>
      <c r="K7" s="130">
        <f t="shared" si="4"/>
        <v>90.865384615384613</v>
      </c>
      <c r="L7" s="277"/>
      <c r="M7" s="127">
        <f t="shared" si="5"/>
        <v>5.2831999999999999</v>
      </c>
      <c r="N7" s="128">
        <f t="shared" si="6"/>
        <v>0.20799999999999999</v>
      </c>
      <c r="O7" s="129">
        <v>125</v>
      </c>
      <c r="P7" s="130">
        <f t="shared" si="7"/>
        <v>252.09599999999998</v>
      </c>
      <c r="Q7" s="130">
        <f t="shared" si="8"/>
        <v>151.44230769230771</v>
      </c>
      <c r="R7" s="277"/>
      <c r="S7" s="137" t="s">
        <v>57</v>
      </c>
    </row>
    <row r="8" spans="1:19" x14ac:dyDescent="0.25">
      <c r="A8" s="127">
        <f t="shared" ref="A8:A52" si="10">$A$7*B8</f>
        <v>24.459259259259255</v>
      </c>
      <c r="B8" s="128">
        <f t="shared" ref="B8:B52" si="11">$C$7/C8</f>
        <v>0.96296296296296291</v>
      </c>
      <c r="C8" s="129">
        <v>27</v>
      </c>
      <c r="D8" s="130">
        <f t="shared" ref="D8:D52" si="12">$D$7*B8</f>
        <v>1167.1111111111111</v>
      </c>
      <c r="E8" s="130">
        <f t="shared" si="0"/>
        <v>32.71153846153846</v>
      </c>
      <c r="F8" s="277"/>
      <c r="G8" s="127">
        <f t="shared" si="1"/>
        <v>8.689473684210526</v>
      </c>
      <c r="H8" s="128">
        <f t="shared" si="2"/>
        <v>0.34210526315789475</v>
      </c>
      <c r="I8" s="129">
        <v>76</v>
      </c>
      <c r="J8" s="130">
        <f t="shared" si="9"/>
        <v>414.63157894736844</v>
      </c>
      <c r="K8" s="130">
        <f t="shared" si="4"/>
        <v>92.07692307692308</v>
      </c>
      <c r="L8" s="277"/>
      <c r="M8" s="127">
        <f t="shared" si="5"/>
        <v>5.2412698412698404</v>
      </c>
      <c r="N8" s="128">
        <f t="shared" si="6"/>
        <v>0.20634920634920634</v>
      </c>
      <c r="O8" s="129">
        <v>126</v>
      </c>
      <c r="P8" s="130">
        <f t="shared" si="7"/>
        <v>250.09523809523807</v>
      </c>
      <c r="Q8" s="130">
        <f t="shared" si="8"/>
        <v>152.65384615384616</v>
      </c>
      <c r="R8" s="277"/>
      <c r="S8" s="137" t="s">
        <v>58</v>
      </c>
    </row>
    <row r="9" spans="1:19" ht="15.75" x14ac:dyDescent="0.25">
      <c r="A9" s="131">
        <f t="shared" si="10"/>
        <v>23.585714285714285</v>
      </c>
      <c r="B9" s="132">
        <f t="shared" si="11"/>
        <v>0.9285714285714286</v>
      </c>
      <c r="C9" s="135">
        <v>28</v>
      </c>
      <c r="D9" s="134">
        <f t="shared" si="12"/>
        <v>1125.4285714285716</v>
      </c>
      <c r="E9" s="134">
        <f t="shared" si="0"/>
        <v>33.92307692307692</v>
      </c>
      <c r="F9" s="277"/>
      <c r="G9" s="127">
        <f t="shared" si="1"/>
        <v>8.5766233766233757</v>
      </c>
      <c r="H9" s="128">
        <f t="shared" si="2"/>
        <v>0.33766233766233766</v>
      </c>
      <c r="I9" s="129">
        <v>77</v>
      </c>
      <c r="J9" s="130">
        <f t="shared" si="9"/>
        <v>409.24675324675326</v>
      </c>
      <c r="K9" s="130">
        <f t="shared" si="4"/>
        <v>93.288461538461533</v>
      </c>
      <c r="L9" s="277"/>
      <c r="M9" s="127">
        <f t="shared" si="5"/>
        <v>5.1999999999999993</v>
      </c>
      <c r="N9" s="128">
        <f t="shared" si="6"/>
        <v>0.20472440944881889</v>
      </c>
      <c r="O9" s="129">
        <v>127</v>
      </c>
      <c r="P9" s="130">
        <f t="shared" si="7"/>
        <v>248.1259842519685</v>
      </c>
      <c r="Q9" s="130">
        <f t="shared" si="8"/>
        <v>153.86538461538461</v>
      </c>
      <c r="R9" s="277"/>
      <c r="S9" s="159"/>
    </row>
    <row r="10" spans="1:19" x14ac:dyDescent="0.25">
      <c r="A10" s="127">
        <f t="shared" si="10"/>
        <v>22.772413793103446</v>
      </c>
      <c r="B10" s="128">
        <f t="shared" si="11"/>
        <v>0.89655172413793105</v>
      </c>
      <c r="C10" s="129">
        <v>29</v>
      </c>
      <c r="D10" s="130">
        <f t="shared" si="12"/>
        <v>1086.6206896551723</v>
      </c>
      <c r="E10" s="130">
        <f t="shared" si="0"/>
        <v>35.134615384615387</v>
      </c>
      <c r="F10" s="277"/>
      <c r="G10" s="127">
        <f t="shared" si="1"/>
        <v>8.466666666666665</v>
      </c>
      <c r="H10" s="128">
        <f t="shared" si="2"/>
        <v>0.33333333333333331</v>
      </c>
      <c r="I10" s="129">
        <v>78</v>
      </c>
      <c r="J10" s="130">
        <f t="shared" si="9"/>
        <v>404</v>
      </c>
      <c r="K10" s="130">
        <f t="shared" si="4"/>
        <v>94.5</v>
      </c>
      <c r="L10" s="277"/>
      <c r="M10" s="127">
        <f t="shared" si="5"/>
        <v>5.1593749999999998</v>
      </c>
      <c r="N10" s="128">
        <f t="shared" si="6"/>
        <v>0.203125</v>
      </c>
      <c r="O10" s="129">
        <v>128</v>
      </c>
      <c r="P10" s="130">
        <f t="shared" si="7"/>
        <v>246.1875</v>
      </c>
      <c r="Q10" s="130">
        <f t="shared" si="8"/>
        <v>155.07692307692307</v>
      </c>
      <c r="R10" s="277"/>
      <c r="S10" s="158" t="s">
        <v>59</v>
      </c>
    </row>
    <row r="11" spans="1:19" x14ac:dyDescent="0.25">
      <c r="A11" s="127">
        <f t="shared" si="10"/>
        <v>22.013333333333332</v>
      </c>
      <c r="B11" s="128">
        <f t="shared" si="11"/>
        <v>0.8666666666666667</v>
      </c>
      <c r="C11" s="129">
        <v>30</v>
      </c>
      <c r="D11" s="130">
        <f t="shared" si="12"/>
        <v>1050.4000000000001</v>
      </c>
      <c r="E11" s="130">
        <f t="shared" si="0"/>
        <v>36.346153846153847</v>
      </c>
      <c r="F11" s="277"/>
      <c r="G11" s="127">
        <f t="shared" si="1"/>
        <v>8.3594936708860743</v>
      </c>
      <c r="H11" s="128">
        <f t="shared" si="2"/>
        <v>0.32911392405063289</v>
      </c>
      <c r="I11" s="129">
        <v>79</v>
      </c>
      <c r="J11" s="130">
        <f t="shared" si="9"/>
        <v>398.88607594936707</v>
      </c>
      <c r="K11" s="130">
        <f t="shared" si="4"/>
        <v>95.711538461538467</v>
      </c>
      <c r="L11" s="277"/>
      <c r="M11" s="127">
        <f t="shared" si="5"/>
        <v>5.11937984496124</v>
      </c>
      <c r="N11" s="128">
        <f t="shared" si="6"/>
        <v>0.20155038759689922</v>
      </c>
      <c r="O11" s="129">
        <v>129</v>
      </c>
      <c r="P11" s="130">
        <f t="shared" si="7"/>
        <v>244.27906976744185</v>
      </c>
      <c r="Q11" s="130">
        <f t="shared" si="8"/>
        <v>156.28846153846155</v>
      </c>
      <c r="R11" s="277"/>
      <c r="S11" s="137" t="s">
        <v>60</v>
      </c>
    </row>
    <row r="12" spans="1:19" x14ac:dyDescent="0.25">
      <c r="A12" s="127">
        <f t="shared" si="10"/>
        <v>21.303225806451614</v>
      </c>
      <c r="B12" s="128">
        <f t="shared" si="11"/>
        <v>0.83870967741935487</v>
      </c>
      <c r="C12" s="129">
        <v>31</v>
      </c>
      <c r="D12" s="130">
        <f t="shared" si="12"/>
        <v>1016.516129032258</v>
      </c>
      <c r="E12" s="130">
        <f t="shared" si="0"/>
        <v>37.557692307692307</v>
      </c>
      <c r="F12" s="277"/>
      <c r="G12" s="127">
        <f t="shared" si="1"/>
        <v>8.254999999999999</v>
      </c>
      <c r="H12" s="128">
        <f t="shared" si="2"/>
        <v>0.32500000000000001</v>
      </c>
      <c r="I12" s="129">
        <v>80</v>
      </c>
      <c r="J12" s="130">
        <f t="shared" si="9"/>
        <v>393.90000000000003</v>
      </c>
      <c r="K12" s="130">
        <f t="shared" si="4"/>
        <v>96.92307692307692</v>
      </c>
      <c r="L12" s="277"/>
      <c r="M12" s="127">
        <f t="shared" si="5"/>
        <v>5.08</v>
      </c>
      <c r="N12" s="128">
        <f t="shared" si="6"/>
        <v>0.2</v>
      </c>
      <c r="O12" s="129">
        <v>130</v>
      </c>
      <c r="P12" s="130">
        <f t="shared" si="7"/>
        <v>242.4</v>
      </c>
      <c r="Q12" s="130">
        <f t="shared" si="8"/>
        <v>157.5</v>
      </c>
      <c r="R12" s="277"/>
      <c r="S12" s="137" t="s">
        <v>61</v>
      </c>
    </row>
    <row r="13" spans="1:19" x14ac:dyDescent="0.25">
      <c r="A13" s="127">
        <f t="shared" si="10"/>
        <v>20.637499999999999</v>
      </c>
      <c r="B13" s="128">
        <f t="shared" si="11"/>
        <v>0.8125</v>
      </c>
      <c r="C13" s="129">
        <v>32</v>
      </c>
      <c r="D13" s="130">
        <f t="shared" si="12"/>
        <v>984.75</v>
      </c>
      <c r="E13" s="130">
        <f t="shared" si="0"/>
        <v>38.769230769230766</v>
      </c>
      <c r="F13" s="277"/>
      <c r="G13" s="127">
        <f t="shared" si="1"/>
        <v>8.1530864197530857</v>
      </c>
      <c r="H13" s="128">
        <f t="shared" si="2"/>
        <v>0.32098765432098764</v>
      </c>
      <c r="I13" s="129">
        <v>81</v>
      </c>
      <c r="J13" s="130">
        <f t="shared" si="9"/>
        <v>389.03703703703701</v>
      </c>
      <c r="K13" s="130">
        <f t="shared" si="4"/>
        <v>98.134615384615387</v>
      </c>
      <c r="L13" s="277"/>
      <c r="M13" s="127">
        <f t="shared" si="5"/>
        <v>5.0412213740458016</v>
      </c>
      <c r="N13" s="128">
        <f t="shared" si="6"/>
        <v>0.19847328244274809</v>
      </c>
      <c r="O13" s="129">
        <v>131</v>
      </c>
      <c r="P13" s="130">
        <f t="shared" si="7"/>
        <v>240.54961832061068</v>
      </c>
      <c r="Q13" s="130">
        <f t="shared" si="8"/>
        <v>158.71153846153845</v>
      </c>
      <c r="R13" s="277"/>
      <c r="S13" s="137" t="s">
        <v>62</v>
      </c>
    </row>
    <row r="14" spans="1:19" x14ac:dyDescent="0.25">
      <c r="A14" s="127">
        <f t="shared" si="10"/>
        <v>20.012121212121212</v>
      </c>
      <c r="B14" s="128">
        <f t="shared" si="11"/>
        <v>0.78787878787878785</v>
      </c>
      <c r="C14" s="129">
        <v>33</v>
      </c>
      <c r="D14" s="130">
        <f t="shared" si="12"/>
        <v>954.90909090909088</v>
      </c>
      <c r="E14" s="130">
        <f t="shared" si="0"/>
        <v>39.980769230769234</v>
      </c>
      <c r="F14" s="277"/>
      <c r="G14" s="127">
        <f t="shared" si="1"/>
        <v>8.053658536585365</v>
      </c>
      <c r="H14" s="128">
        <f t="shared" si="2"/>
        <v>0.31707317073170732</v>
      </c>
      <c r="I14" s="129">
        <v>82</v>
      </c>
      <c r="J14" s="130">
        <f t="shared" si="9"/>
        <v>384.29268292682929</v>
      </c>
      <c r="K14" s="130">
        <f t="shared" si="4"/>
        <v>99.34615384615384</v>
      </c>
      <c r="L14" s="277"/>
      <c r="M14" s="127">
        <f t="shared" si="5"/>
        <v>5.0030303030303029</v>
      </c>
      <c r="N14" s="128">
        <f t="shared" si="6"/>
        <v>0.19696969696969696</v>
      </c>
      <c r="O14" s="129">
        <v>132</v>
      </c>
      <c r="P14" s="130">
        <f t="shared" si="7"/>
        <v>238.72727272727272</v>
      </c>
      <c r="Q14" s="130">
        <f t="shared" si="8"/>
        <v>159.92307692307693</v>
      </c>
      <c r="R14" s="277"/>
      <c r="S14" s="137" t="s">
        <v>63</v>
      </c>
    </row>
    <row r="15" spans="1:19" x14ac:dyDescent="0.25">
      <c r="A15" s="127">
        <f t="shared" si="10"/>
        <v>19.423529411764704</v>
      </c>
      <c r="B15" s="128">
        <f t="shared" si="11"/>
        <v>0.76470588235294112</v>
      </c>
      <c r="C15" s="129">
        <v>34</v>
      </c>
      <c r="D15" s="130">
        <f t="shared" si="12"/>
        <v>926.82352941176464</v>
      </c>
      <c r="E15" s="130">
        <f t="shared" si="0"/>
        <v>41.192307692307693</v>
      </c>
      <c r="F15" s="277"/>
      <c r="G15" s="127">
        <f t="shared" si="1"/>
        <v>7.9566265060240964</v>
      </c>
      <c r="H15" s="128">
        <f t="shared" si="2"/>
        <v>0.31325301204819278</v>
      </c>
      <c r="I15" s="129">
        <v>83</v>
      </c>
      <c r="J15" s="130">
        <f t="shared" si="9"/>
        <v>379.66265060240966</v>
      </c>
      <c r="K15" s="130">
        <f t="shared" si="4"/>
        <v>100.55769230769231</v>
      </c>
      <c r="L15" s="277"/>
      <c r="M15" s="127">
        <f t="shared" si="5"/>
        <v>4.9654135338345862</v>
      </c>
      <c r="N15" s="128">
        <f t="shared" si="6"/>
        <v>0.19548872180451127</v>
      </c>
      <c r="O15" s="129">
        <v>133</v>
      </c>
      <c r="P15" s="130">
        <f t="shared" si="7"/>
        <v>236.93233082706766</v>
      </c>
      <c r="Q15" s="130">
        <f t="shared" si="8"/>
        <v>161.13461538461539</v>
      </c>
      <c r="R15" s="277"/>
      <c r="S15" s="159"/>
    </row>
    <row r="16" spans="1:19" x14ac:dyDescent="0.25">
      <c r="A16" s="127">
        <f t="shared" si="10"/>
        <v>18.868571428571428</v>
      </c>
      <c r="B16" s="128">
        <f t="shared" si="11"/>
        <v>0.74285714285714288</v>
      </c>
      <c r="C16" s="129">
        <v>35</v>
      </c>
      <c r="D16" s="130">
        <f t="shared" si="12"/>
        <v>900.34285714285716</v>
      </c>
      <c r="E16" s="130">
        <f t="shared" si="0"/>
        <v>42.403846153846153</v>
      </c>
      <c r="F16" s="277"/>
      <c r="G16" s="127">
        <f t="shared" si="1"/>
        <v>7.8619047619047615</v>
      </c>
      <c r="H16" s="128">
        <f t="shared" si="2"/>
        <v>0.30952380952380953</v>
      </c>
      <c r="I16" s="129">
        <v>84</v>
      </c>
      <c r="J16" s="130">
        <f t="shared" si="9"/>
        <v>375.14285714285717</v>
      </c>
      <c r="K16" s="130">
        <f t="shared" si="4"/>
        <v>101.76923076923076</v>
      </c>
      <c r="L16" s="277"/>
      <c r="M16" s="127">
        <f t="shared" si="5"/>
        <v>4.928358208955224</v>
      </c>
      <c r="N16" s="128">
        <f t="shared" si="6"/>
        <v>0.19402985074626866</v>
      </c>
      <c r="O16" s="129">
        <v>134</v>
      </c>
      <c r="P16" s="130">
        <f t="shared" si="7"/>
        <v>235.16417910447763</v>
      </c>
      <c r="Q16" s="130">
        <f t="shared" si="8"/>
        <v>162.34615384615384</v>
      </c>
      <c r="R16" s="277"/>
      <c r="S16" s="137" t="s">
        <v>64</v>
      </c>
    </row>
    <row r="17" spans="1:21" x14ac:dyDescent="0.25">
      <c r="A17" s="127">
        <f t="shared" si="10"/>
        <v>18.344444444444441</v>
      </c>
      <c r="B17" s="128">
        <f t="shared" si="11"/>
        <v>0.72222222222222221</v>
      </c>
      <c r="C17" s="129">
        <v>36</v>
      </c>
      <c r="D17" s="130">
        <f t="shared" si="12"/>
        <v>875.33333333333337</v>
      </c>
      <c r="E17" s="130">
        <f t="shared" si="0"/>
        <v>43.615384615384613</v>
      </c>
      <c r="F17" s="277"/>
      <c r="G17" s="127">
        <f t="shared" si="1"/>
        <v>7.7694117647058825</v>
      </c>
      <c r="H17" s="128">
        <f t="shared" si="2"/>
        <v>0.30588235294117649</v>
      </c>
      <c r="I17" s="129">
        <v>85</v>
      </c>
      <c r="J17" s="130">
        <f t="shared" si="9"/>
        <v>370.7294117647059</v>
      </c>
      <c r="K17" s="130">
        <f t="shared" si="4"/>
        <v>102.98076923076923</v>
      </c>
      <c r="L17" s="277"/>
      <c r="M17" s="127">
        <f t="shared" si="5"/>
        <v>4.8918518518518512</v>
      </c>
      <c r="N17" s="128">
        <f t="shared" si="6"/>
        <v>0.19259259259259259</v>
      </c>
      <c r="O17" s="129">
        <v>135</v>
      </c>
      <c r="P17" s="130">
        <f t="shared" si="7"/>
        <v>233.42222222222222</v>
      </c>
      <c r="Q17" s="130">
        <f t="shared" si="8"/>
        <v>163.55769230769232</v>
      </c>
      <c r="R17" s="277"/>
      <c r="S17" s="137" t="s">
        <v>65</v>
      </c>
    </row>
    <row r="18" spans="1:21" x14ac:dyDescent="0.25">
      <c r="A18" s="127">
        <f t="shared" si="10"/>
        <v>17.848648648648648</v>
      </c>
      <c r="B18" s="128">
        <f t="shared" si="11"/>
        <v>0.70270270270270274</v>
      </c>
      <c r="C18" s="129">
        <v>37</v>
      </c>
      <c r="D18" s="130">
        <f t="shared" si="12"/>
        <v>851.67567567567573</v>
      </c>
      <c r="E18" s="130">
        <f t="shared" si="0"/>
        <v>44.826923076923073</v>
      </c>
      <c r="F18" s="277"/>
      <c r="G18" s="127">
        <f t="shared" si="1"/>
        <v>7.6790697674418595</v>
      </c>
      <c r="H18" s="128">
        <f t="shared" si="2"/>
        <v>0.30232558139534882</v>
      </c>
      <c r="I18" s="129">
        <v>86</v>
      </c>
      <c r="J18" s="130">
        <f t="shared" si="9"/>
        <v>366.41860465116275</v>
      </c>
      <c r="K18" s="130">
        <f t="shared" si="4"/>
        <v>104.19230769230769</v>
      </c>
      <c r="L18" s="277"/>
      <c r="M18" s="127">
        <f t="shared" si="5"/>
        <v>4.8558823529411761</v>
      </c>
      <c r="N18" s="128">
        <f t="shared" si="6"/>
        <v>0.19117647058823528</v>
      </c>
      <c r="O18" s="129">
        <v>136</v>
      </c>
      <c r="P18" s="130">
        <f t="shared" si="7"/>
        <v>231.70588235294116</v>
      </c>
      <c r="Q18" s="130">
        <f t="shared" si="8"/>
        <v>164.76923076923077</v>
      </c>
      <c r="R18" s="277"/>
      <c r="S18" s="159"/>
    </row>
    <row r="19" spans="1:21" x14ac:dyDescent="0.25">
      <c r="A19" s="127">
        <f t="shared" si="10"/>
        <v>17.378947368421052</v>
      </c>
      <c r="B19" s="128">
        <f t="shared" si="11"/>
        <v>0.68421052631578949</v>
      </c>
      <c r="C19" s="129">
        <v>38</v>
      </c>
      <c r="D19" s="130">
        <f t="shared" si="12"/>
        <v>829.26315789473688</v>
      </c>
      <c r="E19" s="130">
        <f t="shared" si="0"/>
        <v>46.03846153846154</v>
      </c>
      <c r="F19" s="277"/>
      <c r="G19" s="127">
        <f t="shared" si="1"/>
        <v>7.5908045977011493</v>
      </c>
      <c r="H19" s="128">
        <f t="shared" si="2"/>
        <v>0.2988505747126437</v>
      </c>
      <c r="I19" s="129">
        <v>87</v>
      </c>
      <c r="J19" s="130">
        <f t="shared" si="9"/>
        <v>362.20689655172418</v>
      </c>
      <c r="K19" s="130">
        <f t="shared" si="4"/>
        <v>105.40384615384615</v>
      </c>
      <c r="L19" s="277"/>
      <c r="M19" s="127">
        <f t="shared" si="5"/>
        <v>4.8204379562043789</v>
      </c>
      <c r="N19" s="128">
        <f t="shared" si="6"/>
        <v>0.18978102189781021</v>
      </c>
      <c r="O19" s="129">
        <v>137</v>
      </c>
      <c r="P19" s="130">
        <f t="shared" si="7"/>
        <v>230.01459854014598</v>
      </c>
      <c r="Q19" s="130">
        <f t="shared" si="8"/>
        <v>165.98076923076923</v>
      </c>
      <c r="R19" s="277"/>
      <c r="S19" s="137" t="s">
        <v>66</v>
      </c>
      <c r="T19" s="157" t="s">
        <v>67</v>
      </c>
      <c r="U19" s="136" t="s">
        <v>68</v>
      </c>
    </row>
    <row r="20" spans="1:21" x14ac:dyDescent="0.25">
      <c r="A20" s="127">
        <f t="shared" si="10"/>
        <v>16.93333333333333</v>
      </c>
      <c r="B20" s="128">
        <f t="shared" si="11"/>
        <v>0.66666666666666663</v>
      </c>
      <c r="C20" s="129">
        <v>39</v>
      </c>
      <c r="D20" s="130">
        <f t="shared" si="12"/>
        <v>808</v>
      </c>
      <c r="E20" s="130">
        <f t="shared" si="0"/>
        <v>47.25</v>
      </c>
      <c r="F20" s="277"/>
      <c r="G20" s="127">
        <f t="shared" si="1"/>
        <v>7.5045454545454549</v>
      </c>
      <c r="H20" s="128">
        <f t="shared" si="2"/>
        <v>0.29545454545454547</v>
      </c>
      <c r="I20" s="129">
        <v>88</v>
      </c>
      <c r="J20" s="130">
        <f t="shared" si="9"/>
        <v>358.09090909090912</v>
      </c>
      <c r="K20" s="130">
        <f t="shared" si="4"/>
        <v>106.61538461538461</v>
      </c>
      <c r="L20" s="277"/>
      <c r="M20" s="127">
        <f t="shared" si="5"/>
        <v>4.7855072463768114</v>
      </c>
      <c r="N20" s="128">
        <f t="shared" si="6"/>
        <v>0.18840579710144928</v>
      </c>
      <c r="O20" s="129">
        <v>138</v>
      </c>
      <c r="P20" s="130">
        <f t="shared" si="7"/>
        <v>228.34782608695653</v>
      </c>
      <c r="Q20" s="130">
        <f t="shared" si="8"/>
        <v>167.19230769230768</v>
      </c>
      <c r="R20" s="277"/>
      <c r="S20" s="137"/>
      <c r="T20" s="156" t="s">
        <v>69</v>
      </c>
      <c r="U20" s="137" t="s">
        <v>70</v>
      </c>
    </row>
    <row r="21" spans="1:21" x14ac:dyDescent="0.25">
      <c r="A21" s="127">
        <f t="shared" si="10"/>
        <v>16.509999999999998</v>
      </c>
      <c r="B21" s="128">
        <f t="shared" si="11"/>
        <v>0.65</v>
      </c>
      <c r="C21" s="129">
        <v>40</v>
      </c>
      <c r="D21" s="130">
        <f t="shared" si="12"/>
        <v>787.80000000000007</v>
      </c>
      <c r="E21" s="130">
        <f t="shared" si="0"/>
        <v>48.46153846153846</v>
      </c>
      <c r="F21" s="277"/>
      <c r="G21" s="127">
        <f t="shared" si="1"/>
        <v>7.4202247191011228</v>
      </c>
      <c r="H21" s="128">
        <f t="shared" si="2"/>
        <v>0.29213483146067415</v>
      </c>
      <c r="I21" s="129">
        <v>89</v>
      </c>
      <c r="J21" s="130">
        <f t="shared" si="9"/>
        <v>354.06741573033707</v>
      </c>
      <c r="K21" s="130">
        <f t="shared" si="4"/>
        <v>107.82692307692308</v>
      </c>
      <c r="L21" s="277"/>
      <c r="M21" s="127">
        <f t="shared" si="5"/>
        <v>4.7510791366906471</v>
      </c>
      <c r="N21" s="128">
        <f t="shared" si="6"/>
        <v>0.18705035971223022</v>
      </c>
      <c r="O21" s="129">
        <v>139</v>
      </c>
      <c r="P21" s="130">
        <f t="shared" si="7"/>
        <v>226.70503597122303</v>
      </c>
      <c r="Q21" s="130">
        <f t="shared" si="8"/>
        <v>168.40384615384616</v>
      </c>
      <c r="R21" s="277"/>
      <c r="S21" s="154" t="s">
        <v>71</v>
      </c>
      <c r="T21" s="157" t="s">
        <v>72</v>
      </c>
      <c r="U21" s="137" t="s">
        <v>107</v>
      </c>
    </row>
    <row r="22" spans="1:21" x14ac:dyDescent="0.25">
      <c r="A22" s="127">
        <f t="shared" si="10"/>
        <v>16.10731707317073</v>
      </c>
      <c r="B22" s="128">
        <f t="shared" si="11"/>
        <v>0.63414634146341464</v>
      </c>
      <c r="C22" s="129">
        <v>41</v>
      </c>
      <c r="D22" s="130">
        <f t="shared" si="12"/>
        <v>768.58536585365857</v>
      </c>
      <c r="E22" s="130">
        <f t="shared" si="0"/>
        <v>49.67307692307692</v>
      </c>
      <c r="F22" s="277"/>
      <c r="G22" s="127">
        <f t="shared" si="1"/>
        <v>7.3377777777777764</v>
      </c>
      <c r="H22" s="128">
        <f t="shared" si="2"/>
        <v>0.28888888888888886</v>
      </c>
      <c r="I22" s="129">
        <v>90</v>
      </c>
      <c r="J22" s="130">
        <f t="shared" si="9"/>
        <v>350.13333333333333</v>
      </c>
      <c r="K22" s="130">
        <f t="shared" si="4"/>
        <v>109.03846153846155</v>
      </c>
      <c r="L22" s="277"/>
      <c r="M22" s="127">
        <f t="shared" si="5"/>
        <v>4.7171428571428571</v>
      </c>
      <c r="N22" s="128">
        <f t="shared" si="6"/>
        <v>0.18571428571428572</v>
      </c>
      <c r="O22" s="129">
        <v>140</v>
      </c>
      <c r="P22" s="130">
        <f t="shared" si="7"/>
        <v>225.08571428571429</v>
      </c>
      <c r="Q22" s="130">
        <f t="shared" si="8"/>
        <v>169.61538461538461</v>
      </c>
      <c r="R22" s="277"/>
      <c r="S22" s="137"/>
      <c r="T22" s="156" t="s">
        <v>73</v>
      </c>
      <c r="U22" s="137" t="s">
        <v>74</v>
      </c>
    </row>
    <row r="23" spans="1:21" x14ac:dyDescent="0.25">
      <c r="A23" s="127">
        <f t="shared" si="10"/>
        <v>15.723809523809523</v>
      </c>
      <c r="B23" s="128">
        <f t="shared" si="11"/>
        <v>0.61904761904761907</v>
      </c>
      <c r="C23" s="129">
        <v>42</v>
      </c>
      <c r="D23" s="130">
        <f t="shared" si="12"/>
        <v>750.28571428571433</v>
      </c>
      <c r="E23" s="130">
        <f t="shared" si="0"/>
        <v>50.88461538461538</v>
      </c>
      <c r="F23" s="277"/>
      <c r="G23" s="127">
        <f t="shared" si="1"/>
        <v>7.2571428571428562</v>
      </c>
      <c r="H23" s="128">
        <f t="shared" si="2"/>
        <v>0.2857142857142857</v>
      </c>
      <c r="I23" s="129">
        <v>91</v>
      </c>
      <c r="J23" s="130">
        <f t="shared" si="9"/>
        <v>346.28571428571428</v>
      </c>
      <c r="K23" s="130">
        <f t="shared" si="4"/>
        <v>110.25</v>
      </c>
      <c r="L23" s="277"/>
      <c r="M23" s="127">
        <f t="shared" si="5"/>
        <v>4.6836879432624112</v>
      </c>
      <c r="N23" s="128">
        <f t="shared" si="6"/>
        <v>0.18439716312056736</v>
      </c>
      <c r="O23" s="129">
        <v>141</v>
      </c>
      <c r="P23" s="130">
        <f t="shared" si="7"/>
        <v>223.48936170212764</v>
      </c>
      <c r="Q23" s="130">
        <f t="shared" si="8"/>
        <v>170.82692307692309</v>
      </c>
      <c r="R23" s="277"/>
      <c r="S23" s="137" t="s">
        <v>75</v>
      </c>
      <c r="T23" s="156" t="s">
        <v>73</v>
      </c>
      <c r="U23" s="137" t="s">
        <v>76</v>
      </c>
    </row>
    <row r="24" spans="1:21" x14ac:dyDescent="0.25">
      <c r="A24" s="127">
        <f t="shared" si="10"/>
        <v>15.358139534883719</v>
      </c>
      <c r="B24" s="128">
        <f t="shared" si="11"/>
        <v>0.60465116279069764</v>
      </c>
      <c r="C24" s="129">
        <v>43</v>
      </c>
      <c r="D24" s="130">
        <f t="shared" si="12"/>
        <v>732.8372093023255</v>
      </c>
      <c r="E24" s="130">
        <f t="shared" si="0"/>
        <v>52.096153846153847</v>
      </c>
      <c r="F24" s="277"/>
      <c r="G24" s="127">
        <f t="shared" si="1"/>
        <v>7.1782608695652161</v>
      </c>
      <c r="H24" s="128">
        <f t="shared" si="2"/>
        <v>0.28260869565217389</v>
      </c>
      <c r="I24" s="129">
        <v>92</v>
      </c>
      <c r="J24" s="130">
        <f t="shared" si="9"/>
        <v>342.52173913043475</v>
      </c>
      <c r="K24" s="130">
        <f t="shared" si="4"/>
        <v>111.46153846153847</v>
      </c>
      <c r="L24" s="277"/>
      <c r="M24" s="127">
        <f t="shared" si="5"/>
        <v>4.6507042253521123</v>
      </c>
      <c r="N24" s="128">
        <f t="shared" si="6"/>
        <v>0.18309859154929578</v>
      </c>
      <c r="O24" s="129">
        <v>142</v>
      </c>
      <c r="P24" s="130">
        <f t="shared" si="7"/>
        <v>221.91549295774649</v>
      </c>
      <c r="Q24" s="130">
        <f t="shared" si="8"/>
        <v>172.03846153846152</v>
      </c>
      <c r="R24" s="277"/>
      <c r="S24" s="137" t="s">
        <v>77</v>
      </c>
      <c r="T24" s="156" t="s">
        <v>73</v>
      </c>
      <c r="U24" s="137" t="s">
        <v>74</v>
      </c>
    </row>
    <row r="25" spans="1:21" x14ac:dyDescent="0.25">
      <c r="A25" s="127">
        <f t="shared" si="10"/>
        <v>15.00909090909091</v>
      </c>
      <c r="B25" s="128">
        <f t="shared" si="11"/>
        <v>0.59090909090909094</v>
      </c>
      <c r="C25" s="129">
        <v>44</v>
      </c>
      <c r="D25" s="130">
        <f t="shared" si="12"/>
        <v>716.18181818181824</v>
      </c>
      <c r="E25" s="130">
        <f t="shared" si="0"/>
        <v>53.307692307692307</v>
      </c>
      <c r="F25" s="277"/>
      <c r="G25" s="127">
        <f t="shared" si="1"/>
        <v>7.101075268817203</v>
      </c>
      <c r="H25" s="128">
        <f t="shared" si="2"/>
        <v>0.27956989247311825</v>
      </c>
      <c r="I25" s="129">
        <v>93</v>
      </c>
      <c r="J25" s="130">
        <f t="shared" si="9"/>
        <v>338.83870967741933</v>
      </c>
      <c r="K25" s="130">
        <f t="shared" si="4"/>
        <v>112.67307692307693</v>
      </c>
      <c r="L25" s="277"/>
      <c r="M25" s="127">
        <f t="shared" si="5"/>
        <v>4.6181818181818182</v>
      </c>
      <c r="N25" s="128">
        <f t="shared" si="6"/>
        <v>0.18181818181818182</v>
      </c>
      <c r="O25" s="129">
        <v>143</v>
      </c>
      <c r="P25" s="130">
        <f t="shared" si="7"/>
        <v>220.36363636363637</v>
      </c>
      <c r="Q25" s="130">
        <f t="shared" si="8"/>
        <v>173.25</v>
      </c>
      <c r="R25" s="277"/>
      <c r="S25" s="137" t="s">
        <v>78</v>
      </c>
    </row>
    <row r="26" spans="1:21" x14ac:dyDescent="0.25">
      <c r="A26" s="127">
        <f t="shared" si="10"/>
        <v>14.675555555555553</v>
      </c>
      <c r="B26" s="128">
        <f t="shared" si="11"/>
        <v>0.57777777777777772</v>
      </c>
      <c r="C26" s="129">
        <v>45</v>
      </c>
      <c r="D26" s="130">
        <f t="shared" si="12"/>
        <v>700.26666666666665</v>
      </c>
      <c r="E26" s="130">
        <f t="shared" si="0"/>
        <v>54.519230769230774</v>
      </c>
      <c r="F26" s="277"/>
      <c r="G26" s="127">
        <f t="shared" si="1"/>
        <v>7.0255319148936168</v>
      </c>
      <c r="H26" s="128">
        <f t="shared" si="2"/>
        <v>0.27659574468085107</v>
      </c>
      <c r="I26" s="129">
        <v>94</v>
      </c>
      <c r="J26" s="130">
        <f t="shared" si="9"/>
        <v>335.2340425531915</v>
      </c>
      <c r="K26" s="130">
        <f t="shared" si="4"/>
        <v>113.88461538461539</v>
      </c>
      <c r="L26" s="277"/>
      <c r="M26" s="127">
        <f t="shared" si="5"/>
        <v>4.5861111111111104</v>
      </c>
      <c r="N26" s="128">
        <f t="shared" si="6"/>
        <v>0.18055555555555555</v>
      </c>
      <c r="O26" s="129">
        <v>144</v>
      </c>
      <c r="P26" s="130">
        <f t="shared" si="7"/>
        <v>218.83333333333334</v>
      </c>
      <c r="Q26" s="130">
        <f t="shared" si="8"/>
        <v>174.46153846153845</v>
      </c>
      <c r="R26" s="277"/>
      <c r="S26" s="137" t="s">
        <v>79</v>
      </c>
    </row>
    <row r="27" spans="1:21" x14ac:dyDescent="0.25">
      <c r="A27" s="127">
        <f t="shared" si="10"/>
        <v>14.356521739130432</v>
      </c>
      <c r="B27" s="128">
        <f t="shared" si="11"/>
        <v>0.56521739130434778</v>
      </c>
      <c r="C27" s="129">
        <v>46</v>
      </c>
      <c r="D27" s="130">
        <f t="shared" si="12"/>
        <v>685.04347826086951</v>
      </c>
      <c r="E27" s="130">
        <f t="shared" si="0"/>
        <v>55.730769230769234</v>
      </c>
      <c r="F27" s="277"/>
      <c r="G27" s="127">
        <f t="shared" si="1"/>
        <v>6.9515789473684215</v>
      </c>
      <c r="H27" s="128">
        <f t="shared" si="2"/>
        <v>0.27368421052631581</v>
      </c>
      <c r="I27" s="129">
        <v>95</v>
      </c>
      <c r="J27" s="130">
        <f t="shared" si="9"/>
        <v>331.70526315789476</v>
      </c>
      <c r="K27" s="130">
        <f t="shared" si="4"/>
        <v>115.09615384615384</v>
      </c>
      <c r="L27" s="277"/>
      <c r="M27" s="127">
        <f t="shared" si="5"/>
        <v>4.5544827586206891</v>
      </c>
      <c r="N27" s="128">
        <f t="shared" si="6"/>
        <v>0.1793103448275862</v>
      </c>
      <c r="O27" s="129">
        <v>145</v>
      </c>
      <c r="P27" s="130">
        <f t="shared" si="7"/>
        <v>217.32413793103447</v>
      </c>
      <c r="Q27" s="130">
        <f t="shared" si="8"/>
        <v>175.67307692307693</v>
      </c>
      <c r="R27" s="277"/>
    </row>
    <row r="28" spans="1:21" x14ac:dyDescent="0.25">
      <c r="A28" s="127">
        <f t="shared" si="10"/>
        <v>14.051063829787234</v>
      </c>
      <c r="B28" s="128">
        <f t="shared" si="11"/>
        <v>0.55319148936170215</v>
      </c>
      <c r="C28" s="129">
        <v>47</v>
      </c>
      <c r="D28" s="130">
        <f t="shared" si="12"/>
        <v>670.468085106383</v>
      </c>
      <c r="E28" s="130">
        <f t="shared" si="0"/>
        <v>56.942307692307693</v>
      </c>
      <c r="F28" s="277"/>
      <c r="G28" s="127">
        <f t="shared" si="1"/>
        <v>6.8791666666666655</v>
      </c>
      <c r="H28" s="128">
        <f t="shared" si="2"/>
        <v>0.27083333333333331</v>
      </c>
      <c r="I28" s="129">
        <v>96</v>
      </c>
      <c r="J28" s="130">
        <f t="shared" si="9"/>
        <v>328.25</v>
      </c>
      <c r="K28" s="130">
        <f t="shared" si="4"/>
        <v>116.30769230769232</v>
      </c>
      <c r="L28" s="277"/>
      <c r="M28" s="127">
        <f t="shared" si="5"/>
        <v>4.5232876712328762</v>
      </c>
      <c r="N28" s="128">
        <f t="shared" si="6"/>
        <v>0.17808219178082191</v>
      </c>
      <c r="O28" s="129">
        <v>146</v>
      </c>
      <c r="P28" s="130">
        <f t="shared" si="7"/>
        <v>215.83561643835614</v>
      </c>
      <c r="Q28" s="130">
        <f t="shared" si="8"/>
        <v>176.88461538461539</v>
      </c>
      <c r="R28" s="277"/>
      <c r="S28" t="s">
        <v>80</v>
      </c>
    </row>
    <row r="29" spans="1:21" x14ac:dyDescent="0.25">
      <c r="A29" s="127">
        <f t="shared" si="10"/>
        <v>13.758333333333331</v>
      </c>
      <c r="B29" s="128">
        <f t="shared" si="11"/>
        <v>0.54166666666666663</v>
      </c>
      <c r="C29" s="129">
        <v>48</v>
      </c>
      <c r="D29" s="130">
        <f t="shared" si="12"/>
        <v>656.5</v>
      </c>
      <c r="E29" s="130">
        <f t="shared" si="0"/>
        <v>58.15384615384616</v>
      </c>
      <c r="F29" s="277"/>
      <c r="G29" s="127">
        <f t="shared" si="1"/>
        <v>6.8082474226804122</v>
      </c>
      <c r="H29" s="128">
        <f t="shared" si="2"/>
        <v>0.26804123711340205</v>
      </c>
      <c r="I29" s="129">
        <v>97</v>
      </c>
      <c r="J29" s="130">
        <f t="shared" si="9"/>
        <v>324.86597938144331</v>
      </c>
      <c r="K29" s="130">
        <f t="shared" si="4"/>
        <v>117.51923076923077</v>
      </c>
      <c r="L29" s="277"/>
      <c r="M29" s="127">
        <f t="shared" si="5"/>
        <v>4.4925170068027205</v>
      </c>
      <c r="N29" s="128">
        <f t="shared" si="6"/>
        <v>0.17687074829931973</v>
      </c>
      <c r="O29" s="129">
        <v>147</v>
      </c>
      <c r="P29" s="130">
        <f t="shared" si="7"/>
        <v>214.36734693877551</v>
      </c>
      <c r="Q29" s="130">
        <f t="shared" si="8"/>
        <v>178.09615384615384</v>
      </c>
      <c r="R29" s="277"/>
    </row>
    <row r="30" spans="1:21" x14ac:dyDescent="0.25">
      <c r="A30" s="127">
        <f t="shared" si="10"/>
        <v>13.477551020408164</v>
      </c>
      <c r="B30" s="128">
        <f t="shared" si="11"/>
        <v>0.53061224489795922</v>
      </c>
      <c r="C30" s="129">
        <v>49</v>
      </c>
      <c r="D30" s="130">
        <f t="shared" si="12"/>
        <v>643.10204081632662</v>
      </c>
      <c r="E30" s="130">
        <f t="shared" si="0"/>
        <v>59.365384615384613</v>
      </c>
      <c r="F30" s="277"/>
      <c r="G30" s="127">
        <f t="shared" si="1"/>
        <v>6.7387755102040821</v>
      </c>
      <c r="H30" s="128">
        <f t="shared" si="2"/>
        <v>0.26530612244897961</v>
      </c>
      <c r="I30" s="129">
        <v>98</v>
      </c>
      <c r="J30" s="130">
        <f t="shared" si="9"/>
        <v>321.55102040816331</v>
      </c>
      <c r="K30" s="130">
        <f t="shared" si="4"/>
        <v>118.73076923076923</v>
      </c>
      <c r="L30" s="277"/>
      <c r="M30" s="127">
        <f t="shared" si="5"/>
        <v>4.4621621621621621</v>
      </c>
      <c r="N30" s="128">
        <f t="shared" si="6"/>
        <v>0.17567567567567569</v>
      </c>
      <c r="O30" s="129">
        <v>148</v>
      </c>
      <c r="P30" s="130">
        <f t="shared" si="7"/>
        <v>212.91891891891893</v>
      </c>
      <c r="Q30" s="130">
        <f t="shared" si="8"/>
        <v>179.30769230769229</v>
      </c>
      <c r="R30" s="277"/>
    </row>
    <row r="31" spans="1:21" x14ac:dyDescent="0.25">
      <c r="A31" s="127">
        <f t="shared" si="10"/>
        <v>13.208</v>
      </c>
      <c r="B31" s="128">
        <f t="shared" si="11"/>
        <v>0.52</v>
      </c>
      <c r="C31" s="129">
        <v>50</v>
      </c>
      <c r="D31" s="130">
        <f t="shared" si="12"/>
        <v>630.24</v>
      </c>
      <c r="E31" s="130">
        <f t="shared" si="0"/>
        <v>60.576923076923073</v>
      </c>
      <c r="F31" s="277"/>
      <c r="G31" s="127">
        <f t="shared" si="1"/>
        <v>6.6707070707070706</v>
      </c>
      <c r="H31" s="128">
        <f t="shared" si="2"/>
        <v>0.26262626262626265</v>
      </c>
      <c r="I31" s="129">
        <v>99</v>
      </c>
      <c r="J31" s="130">
        <f t="shared" si="9"/>
        <v>318.30303030303031</v>
      </c>
      <c r="K31" s="130">
        <f t="shared" si="4"/>
        <v>119.94230769230768</v>
      </c>
      <c r="L31" s="277"/>
      <c r="M31" s="127">
        <f t="shared" si="5"/>
        <v>4.4322147651006709</v>
      </c>
      <c r="N31" s="128">
        <f t="shared" si="6"/>
        <v>0.17449664429530201</v>
      </c>
      <c r="O31" s="129">
        <v>149</v>
      </c>
      <c r="P31" s="130">
        <f t="shared" si="7"/>
        <v>211.48993288590603</v>
      </c>
      <c r="Q31" s="130">
        <f t="shared" si="8"/>
        <v>180.51923076923077</v>
      </c>
      <c r="R31" s="277"/>
    </row>
    <row r="32" spans="1:21" x14ac:dyDescent="0.25">
      <c r="A32" s="127">
        <f t="shared" si="10"/>
        <v>12.949019607843136</v>
      </c>
      <c r="B32" s="128">
        <f t="shared" si="11"/>
        <v>0.50980392156862742</v>
      </c>
      <c r="C32" s="129">
        <v>51</v>
      </c>
      <c r="D32" s="130">
        <f t="shared" si="12"/>
        <v>617.88235294117646</v>
      </c>
      <c r="E32" s="130">
        <f t="shared" si="0"/>
        <v>61.78846153846154</v>
      </c>
      <c r="F32" s="277"/>
      <c r="G32" s="127">
        <f t="shared" si="1"/>
        <v>6.6040000000000001</v>
      </c>
      <c r="H32" s="128">
        <f t="shared" si="2"/>
        <v>0.26</v>
      </c>
      <c r="I32" s="129">
        <v>100</v>
      </c>
      <c r="J32" s="130">
        <f t="shared" si="9"/>
        <v>315.12</v>
      </c>
      <c r="K32" s="130">
        <f t="shared" si="4"/>
        <v>121.15384615384615</v>
      </c>
      <c r="L32" s="277"/>
      <c r="M32" s="127">
        <f t="shared" si="5"/>
        <v>4.4026666666666667</v>
      </c>
      <c r="N32" s="128">
        <f t="shared" si="6"/>
        <v>0.17333333333333334</v>
      </c>
      <c r="O32" s="129">
        <v>150</v>
      </c>
      <c r="P32" s="130">
        <f t="shared" si="7"/>
        <v>210.08</v>
      </c>
      <c r="Q32" s="130">
        <f t="shared" si="8"/>
        <v>181.73076923076923</v>
      </c>
      <c r="R32" s="277"/>
    </row>
    <row r="33" spans="1:18" x14ac:dyDescent="0.25">
      <c r="A33" s="127">
        <f t="shared" si="10"/>
        <v>12.7</v>
      </c>
      <c r="B33" s="128">
        <f t="shared" si="11"/>
        <v>0.5</v>
      </c>
      <c r="C33" s="129">
        <v>52</v>
      </c>
      <c r="D33" s="130">
        <f t="shared" si="12"/>
        <v>606</v>
      </c>
      <c r="E33" s="130">
        <f t="shared" si="0"/>
        <v>63</v>
      </c>
      <c r="F33" s="277"/>
      <c r="G33" s="127">
        <f t="shared" si="1"/>
        <v>6.5386138613861382</v>
      </c>
      <c r="H33" s="128">
        <f t="shared" si="2"/>
        <v>0.25742574257425743</v>
      </c>
      <c r="I33" s="129">
        <v>101</v>
      </c>
      <c r="J33" s="130">
        <f t="shared" si="9"/>
        <v>312</v>
      </c>
      <c r="K33" s="130">
        <f t="shared" si="4"/>
        <v>122.36538461538461</v>
      </c>
      <c r="L33" s="277"/>
      <c r="M33" s="127">
        <f t="shared" si="5"/>
        <v>4.3735099337748338</v>
      </c>
      <c r="N33" s="128">
        <f t="shared" si="6"/>
        <v>0.17218543046357615</v>
      </c>
      <c r="O33" s="129">
        <v>151</v>
      </c>
      <c r="P33" s="130">
        <f t="shared" si="7"/>
        <v>208.68874172185429</v>
      </c>
      <c r="Q33" s="130">
        <f t="shared" si="8"/>
        <v>182.94230769230771</v>
      </c>
      <c r="R33" s="277"/>
    </row>
    <row r="34" spans="1:18" x14ac:dyDescent="0.25">
      <c r="A34" s="127">
        <f t="shared" si="10"/>
        <v>12.460377358490565</v>
      </c>
      <c r="B34" s="128">
        <f t="shared" si="11"/>
        <v>0.49056603773584906</v>
      </c>
      <c r="C34" s="129">
        <v>53</v>
      </c>
      <c r="D34" s="130">
        <f t="shared" si="12"/>
        <v>594.56603773584902</v>
      </c>
      <c r="E34" s="130">
        <f t="shared" si="0"/>
        <v>64.211538461538467</v>
      </c>
      <c r="F34" s="277"/>
      <c r="G34" s="127">
        <f t="shared" si="1"/>
        <v>6.4745098039215678</v>
      </c>
      <c r="H34" s="128">
        <f t="shared" si="2"/>
        <v>0.25490196078431371</v>
      </c>
      <c r="I34" s="129">
        <v>102</v>
      </c>
      <c r="J34" s="130">
        <f t="shared" si="9"/>
        <v>308.94117647058823</v>
      </c>
      <c r="K34" s="130">
        <f t="shared" si="4"/>
        <v>123.57692307692308</v>
      </c>
      <c r="L34" s="277"/>
      <c r="M34" s="127">
        <f t="shared" si="5"/>
        <v>4.344736842105263</v>
      </c>
      <c r="N34" s="128">
        <f t="shared" si="6"/>
        <v>0.17105263157894737</v>
      </c>
      <c r="O34" s="129">
        <v>152</v>
      </c>
      <c r="P34" s="130">
        <f t="shared" si="7"/>
        <v>207.31578947368422</v>
      </c>
      <c r="Q34" s="130">
        <f t="shared" si="8"/>
        <v>184.15384615384616</v>
      </c>
      <c r="R34" s="277"/>
    </row>
    <row r="35" spans="1:18" x14ac:dyDescent="0.25">
      <c r="A35" s="127">
        <f t="shared" si="10"/>
        <v>12.229629629629628</v>
      </c>
      <c r="B35" s="128">
        <f t="shared" si="11"/>
        <v>0.48148148148148145</v>
      </c>
      <c r="C35" s="129">
        <v>54</v>
      </c>
      <c r="D35" s="130">
        <f t="shared" si="12"/>
        <v>583.55555555555554</v>
      </c>
      <c r="E35" s="130">
        <f t="shared" si="0"/>
        <v>65.42307692307692</v>
      </c>
      <c r="F35" s="277"/>
      <c r="G35" s="127">
        <f t="shared" si="1"/>
        <v>6.4116504854368932</v>
      </c>
      <c r="H35" s="128">
        <f t="shared" si="2"/>
        <v>0.25242718446601942</v>
      </c>
      <c r="I35" s="129">
        <v>103</v>
      </c>
      <c r="J35" s="130">
        <f t="shared" si="9"/>
        <v>305.94174757281553</v>
      </c>
      <c r="K35" s="130">
        <f t="shared" si="4"/>
        <v>124.78846153846153</v>
      </c>
      <c r="L35" s="277"/>
      <c r="M35" s="127">
        <f t="shared" si="5"/>
        <v>4.3163398692810455</v>
      </c>
      <c r="N35" s="128">
        <f t="shared" si="6"/>
        <v>0.16993464052287582</v>
      </c>
      <c r="O35" s="129">
        <v>153</v>
      </c>
      <c r="P35" s="130">
        <f t="shared" si="7"/>
        <v>205.9607843137255</v>
      </c>
      <c r="Q35" s="130">
        <f t="shared" si="8"/>
        <v>185.36538461538461</v>
      </c>
      <c r="R35" s="277"/>
    </row>
    <row r="36" spans="1:18" x14ac:dyDescent="0.25">
      <c r="A36" s="127">
        <f t="shared" si="10"/>
        <v>12.007272727272726</v>
      </c>
      <c r="B36" s="128">
        <f t="shared" si="11"/>
        <v>0.47272727272727272</v>
      </c>
      <c r="C36" s="129">
        <v>55</v>
      </c>
      <c r="D36" s="130">
        <f t="shared" si="12"/>
        <v>572.94545454545448</v>
      </c>
      <c r="E36" s="130">
        <f t="shared" si="0"/>
        <v>66.634615384615387</v>
      </c>
      <c r="F36" s="277"/>
      <c r="G36" s="127">
        <f t="shared" si="1"/>
        <v>6.35</v>
      </c>
      <c r="H36" s="128">
        <f t="shared" si="2"/>
        <v>0.25</v>
      </c>
      <c r="I36" s="129">
        <v>104</v>
      </c>
      <c r="J36" s="130">
        <f t="shared" si="9"/>
        <v>303</v>
      </c>
      <c r="K36" s="130">
        <f t="shared" si="4"/>
        <v>126</v>
      </c>
      <c r="L36" s="277"/>
      <c r="M36" s="127">
        <f t="shared" si="5"/>
        <v>4.2883116883116879</v>
      </c>
      <c r="N36" s="128">
        <f t="shared" si="6"/>
        <v>0.16883116883116883</v>
      </c>
      <c r="O36" s="129">
        <v>154</v>
      </c>
      <c r="P36" s="130">
        <f t="shared" si="7"/>
        <v>204.62337662337663</v>
      </c>
      <c r="Q36" s="130">
        <f t="shared" si="8"/>
        <v>186.57692307692307</v>
      </c>
      <c r="R36" s="277"/>
    </row>
    <row r="37" spans="1:18" x14ac:dyDescent="0.25">
      <c r="A37" s="127">
        <f t="shared" si="10"/>
        <v>11.792857142857143</v>
      </c>
      <c r="B37" s="128">
        <f t="shared" si="11"/>
        <v>0.4642857142857143</v>
      </c>
      <c r="C37" s="129">
        <v>56</v>
      </c>
      <c r="D37" s="130">
        <f t="shared" si="12"/>
        <v>562.71428571428578</v>
      </c>
      <c r="E37" s="130">
        <f t="shared" si="0"/>
        <v>67.84615384615384</v>
      </c>
      <c r="F37" s="277"/>
      <c r="G37" s="127">
        <f t="shared" si="1"/>
        <v>6.2895238095238097</v>
      </c>
      <c r="H37" s="128">
        <f t="shared" si="2"/>
        <v>0.24761904761904763</v>
      </c>
      <c r="I37" s="129">
        <v>105</v>
      </c>
      <c r="J37" s="130">
        <f t="shared" si="9"/>
        <v>300.1142857142857</v>
      </c>
      <c r="K37" s="130">
        <f t="shared" si="4"/>
        <v>127.21153846153845</v>
      </c>
      <c r="L37" s="277"/>
      <c r="M37" s="127">
        <f t="shared" si="5"/>
        <v>4.2606451612903227</v>
      </c>
      <c r="N37" s="128">
        <f t="shared" si="6"/>
        <v>0.16774193548387098</v>
      </c>
      <c r="O37" s="129">
        <v>155</v>
      </c>
      <c r="P37" s="130">
        <f t="shared" si="7"/>
        <v>203.30322580645162</v>
      </c>
      <c r="Q37" s="130">
        <f t="shared" si="8"/>
        <v>187.78846153846152</v>
      </c>
      <c r="R37" s="277"/>
    </row>
    <row r="38" spans="1:18" x14ac:dyDescent="0.25">
      <c r="A38" s="127">
        <f t="shared" si="10"/>
        <v>11.5859649122807</v>
      </c>
      <c r="B38" s="128">
        <f t="shared" si="11"/>
        <v>0.45614035087719296</v>
      </c>
      <c r="C38" s="129">
        <v>57</v>
      </c>
      <c r="D38" s="130">
        <f t="shared" si="12"/>
        <v>552.84210526315792</v>
      </c>
      <c r="E38" s="130">
        <f t="shared" si="0"/>
        <v>69.057692307692307</v>
      </c>
      <c r="F38" s="277"/>
      <c r="G38" s="127">
        <f t="shared" si="1"/>
        <v>6.2301886792452823</v>
      </c>
      <c r="H38" s="128">
        <f t="shared" si="2"/>
        <v>0.24528301886792453</v>
      </c>
      <c r="I38" s="129">
        <v>106</v>
      </c>
      <c r="J38" s="130">
        <f t="shared" si="9"/>
        <v>297.28301886792451</v>
      </c>
      <c r="K38" s="130">
        <f t="shared" si="4"/>
        <v>128.42307692307693</v>
      </c>
      <c r="L38" s="277"/>
      <c r="M38" s="127">
        <f t="shared" si="5"/>
        <v>4.2333333333333325</v>
      </c>
      <c r="N38" s="128">
        <f t="shared" si="6"/>
        <v>0.16666666666666666</v>
      </c>
      <c r="O38" s="129">
        <v>156</v>
      </c>
      <c r="P38" s="130">
        <f t="shared" si="7"/>
        <v>202</v>
      </c>
      <c r="Q38" s="130">
        <f t="shared" si="8"/>
        <v>189</v>
      </c>
      <c r="R38" s="277"/>
    </row>
    <row r="39" spans="1:18" x14ac:dyDescent="0.25">
      <c r="A39" s="127">
        <f t="shared" si="10"/>
        <v>11.386206896551723</v>
      </c>
      <c r="B39" s="128">
        <f t="shared" si="11"/>
        <v>0.44827586206896552</v>
      </c>
      <c r="C39" s="129">
        <v>58</v>
      </c>
      <c r="D39" s="130">
        <f t="shared" si="12"/>
        <v>543.31034482758616</v>
      </c>
      <c r="E39" s="130">
        <f t="shared" si="0"/>
        <v>70.269230769230774</v>
      </c>
      <c r="F39" s="277"/>
      <c r="G39" s="127">
        <f t="shared" si="1"/>
        <v>6.1719626168224293</v>
      </c>
      <c r="H39" s="128">
        <f t="shared" si="2"/>
        <v>0.24299065420560748</v>
      </c>
      <c r="I39" s="129">
        <v>107</v>
      </c>
      <c r="J39" s="130">
        <f t="shared" si="9"/>
        <v>294.50467289719626</v>
      </c>
      <c r="K39" s="130">
        <f t="shared" si="4"/>
        <v>129.63461538461539</v>
      </c>
      <c r="L39" s="277"/>
      <c r="M39" s="127">
        <f t="shared" si="5"/>
        <v>4.2063694267515919</v>
      </c>
      <c r="N39" s="128">
        <f t="shared" si="6"/>
        <v>0.16560509554140126</v>
      </c>
      <c r="O39" s="129">
        <v>157</v>
      </c>
      <c r="P39" s="130">
        <f t="shared" si="7"/>
        <v>200.71337579617833</v>
      </c>
      <c r="Q39" s="130">
        <f t="shared" si="8"/>
        <v>190.21153846153848</v>
      </c>
      <c r="R39" s="277"/>
    </row>
    <row r="40" spans="1:18" x14ac:dyDescent="0.25">
      <c r="A40" s="127">
        <f t="shared" si="10"/>
        <v>11.19322033898305</v>
      </c>
      <c r="B40" s="128">
        <f t="shared" si="11"/>
        <v>0.44067796610169491</v>
      </c>
      <c r="C40" s="129">
        <v>59</v>
      </c>
      <c r="D40" s="130">
        <f t="shared" si="12"/>
        <v>534.10169491525426</v>
      </c>
      <c r="E40" s="130">
        <f t="shared" si="0"/>
        <v>71.480769230769226</v>
      </c>
      <c r="F40" s="277"/>
      <c r="G40" s="127">
        <f t="shared" si="1"/>
        <v>6.1148148148148138</v>
      </c>
      <c r="H40" s="128">
        <f t="shared" si="2"/>
        <v>0.24074074074074073</v>
      </c>
      <c r="I40" s="129">
        <v>108</v>
      </c>
      <c r="J40" s="130">
        <f t="shared" si="9"/>
        <v>291.77777777777777</v>
      </c>
      <c r="K40" s="130">
        <f t="shared" si="4"/>
        <v>130.84615384615384</v>
      </c>
      <c r="L40" s="277"/>
      <c r="M40" s="127">
        <f t="shared" si="5"/>
        <v>4.1797468354430372</v>
      </c>
      <c r="N40" s="128">
        <f t="shared" si="6"/>
        <v>0.16455696202531644</v>
      </c>
      <c r="O40" s="129">
        <v>158</v>
      </c>
      <c r="P40" s="130">
        <f t="shared" si="7"/>
        <v>199.44303797468353</v>
      </c>
      <c r="Q40" s="130">
        <f t="shared" si="8"/>
        <v>191.42307692307693</v>
      </c>
      <c r="R40" s="277"/>
    </row>
    <row r="41" spans="1:18" x14ac:dyDescent="0.25">
      <c r="A41" s="127">
        <f t="shared" si="10"/>
        <v>11.006666666666666</v>
      </c>
      <c r="B41" s="128">
        <f t="shared" si="11"/>
        <v>0.43333333333333335</v>
      </c>
      <c r="C41" s="129">
        <v>60</v>
      </c>
      <c r="D41" s="130">
        <f t="shared" si="12"/>
        <v>525.20000000000005</v>
      </c>
      <c r="E41" s="130">
        <f t="shared" si="0"/>
        <v>72.692307692307693</v>
      </c>
      <c r="F41" s="277"/>
      <c r="G41" s="127">
        <f t="shared" si="1"/>
        <v>6.0587155963302752</v>
      </c>
      <c r="H41" s="128">
        <f t="shared" si="2"/>
        <v>0.23853211009174313</v>
      </c>
      <c r="I41" s="129">
        <v>109</v>
      </c>
      <c r="J41" s="130">
        <f t="shared" si="9"/>
        <v>289.10091743119267</v>
      </c>
      <c r="K41" s="130">
        <f t="shared" si="4"/>
        <v>132.05769230769229</v>
      </c>
      <c r="L41" s="277"/>
      <c r="M41" s="137"/>
      <c r="N41" s="137"/>
      <c r="O41" s="137"/>
      <c r="P41" s="137"/>
      <c r="Q41" s="137"/>
      <c r="R41" s="277"/>
    </row>
    <row r="42" spans="1:18" x14ac:dyDescent="0.25">
      <c r="A42" s="127">
        <f t="shared" si="10"/>
        <v>10.82622950819672</v>
      </c>
      <c r="B42" s="128">
        <f t="shared" si="11"/>
        <v>0.42622950819672129</v>
      </c>
      <c r="C42" s="129">
        <v>61</v>
      </c>
      <c r="D42" s="130">
        <f t="shared" si="12"/>
        <v>516.59016393442619</v>
      </c>
      <c r="E42" s="130">
        <f t="shared" si="0"/>
        <v>73.90384615384616</v>
      </c>
      <c r="F42" s="277"/>
      <c r="G42" s="127">
        <f t="shared" si="1"/>
        <v>6.003636363636363</v>
      </c>
      <c r="H42" s="128">
        <f t="shared" si="2"/>
        <v>0.23636363636363636</v>
      </c>
      <c r="I42" s="129">
        <v>110</v>
      </c>
      <c r="J42" s="130">
        <f t="shared" si="9"/>
        <v>286.47272727272724</v>
      </c>
      <c r="K42" s="130">
        <f t="shared" si="4"/>
        <v>133.26923076923077</v>
      </c>
      <c r="L42" s="277"/>
      <c r="M42" s="137"/>
      <c r="N42" s="137"/>
      <c r="O42" s="137"/>
      <c r="P42" s="137"/>
      <c r="Q42" s="137"/>
      <c r="R42" s="277"/>
    </row>
    <row r="43" spans="1:18" x14ac:dyDescent="0.25">
      <c r="A43" s="127">
        <f t="shared" si="10"/>
        <v>10.651612903225807</v>
      </c>
      <c r="B43" s="128">
        <f t="shared" si="11"/>
        <v>0.41935483870967744</v>
      </c>
      <c r="C43" s="129">
        <v>62</v>
      </c>
      <c r="D43" s="130">
        <f t="shared" si="12"/>
        <v>508.25806451612902</v>
      </c>
      <c r="E43" s="130">
        <f t="shared" si="0"/>
        <v>75.115384615384613</v>
      </c>
      <c r="F43" s="277"/>
      <c r="G43" s="127">
        <f t="shared" si="1"/>
        <v>5.9495495495495492</v>
      </c>
      <c r="H43" s="128">
        <f t="shared" si="2"/>
        <v>0.23423423423423423</v>
      </c>
      <c r="I43" s="129">
        <v>111</v>
      </c>
      <c r="J43" s="130">
        <f t="shared" si="9"/>
        <v>283.89189189189187</v>
      </c>
      <c r="K43" s="130">
        <f t="shared" si="4"/>
        <v>134.48076923076923</v>
      </c>
      <c r="L43" s="277"/>
      <c r="M43" s="137"/>
      <c r="N43" s="137"/>
      <c r="O43" s="137"/>
      <c r="P43" s="137"/>
      <c r="Q43" s="137"/>
      <c r="R43" s="277"/>
    </row>
    <row r="44" spans="1:18" x14ac:dyDescent="0.25">
      <c r="A44" s="127">
        <f t="shared" si="10"/>
        <v>10.482539682539681</v>
      </c>
      <c r="B44" s="128">
        <f t="shared" si="11"/>
        <v>0.41269841269841268</v>
      </c>
      <c r="C44" s="129">
        <v>63</v>
      </c>
      <c r="D44" s="130">
        <f t="shared" si="12"/>
        <v>500.19047619047615</v>
      </c>
      <c r="E44" s="130">
        <f t="shared" si="0"/>
        <v>76.32692307692308</v>
      </c>
      <c r="F44" s="277"/>
      <c r="G44" s="127">
        <f t="shared" si="1"/>
        <v>5.8964285714285714</v>
      </c>
      <c r="H44" s="128">
        <f t="shared" si="2"/>
        <v>0.23214285714285715</v>
      </c>
      <c r="I44" s="129">
        <v>112</v>
      </c>
      <c r="J44" s="130">
        <f t="shared" si="9"/>
        <v>281.35714285714289</v>
      </c>
      <c r="K44" s="130">
        <f t="shared" si="4"/>
        <v>135.69230769230768</v>
      </c>
      <c r="L44" s="277"/>
      <c r="M44" s="137"/>
      <c r="N44" s="137"/>
      <c r="O44" s="137"/>
      <c r="P44" s="137"/>
      <c r="Q44" s="137"/>
      <c r="R44" s="277"/>
    </row>
    <row r="45" spans="1:18" x14ac:dyDescent="0.25">
      <c r="A45" s="127">
        <f t="shared" si="10"/>
        <v>10.31875</v>
      </c>
      <c r="B45" s="128">
        <f t="shared" si="11"/>
        <v>0.40625</v>
      </c>
      <c r="C45" s="129">
        <v>64</v>
      </c>
      <c r="D45" s="130">
        <f t="shared" si="12"/>
        <v>492.375</v>
      </c>
      <c r="E45" s="130">
        <f t="shared" si="0"/>
        <v>77.538461538461533</v>
      </c>
      <c r="F45" s="277"/>
      <c r="G45" s="127">
        <f t="shared" si="1"/>
        <v>5.8442477876106187</v>
      </c>
      <c r="H45" s="128">
        <f t="shared" si="2"/>
        <v>0.23008849557522124</v>
      </c>
      <c r="I45" s="129">
        <v>113</v>
      </c>
      <c r="J45" s="130">
        <f t="shared" si="9"/>
        <v>278.86725663716811</v>
      </c>
      <c r="K45" s="130">
        <f t="shared" si="4"/>
        <v>136.90384615384616</v>
      </c>
      <c r="L45" s="277"/>
      <c r="M45" s="137"/>
      <c r="N45" s="137"/>
      <c r="O45" s="137"/>
      <c r="P45" s="137"/>
      <c r="Q45" s="137"/>
      <c r="R45" s="277"/>
    </row>
    <row r="46" spans="1:18" x14ac:dyDescent="0.25">
      <c r="A46" s="127">
        <f t="shared" si="10"/>
        <v>10.16</v>
      </c>
      <c r="B46" s="128">
        <f t="shared" si="11"/>
        <v>0.4</v>
      </c>
      <c r="C46" s="129">
        <v>65</v>
      </c>
      <c r="D46" s="130">
        <f t="shared" si="12"/>
        <v>484.8</v>
      </c>
      <c r="E46" s="130">
        <f t="shared" si="0"/>
        <v>78.75</v>
      </c>
      <c r="F46" s="277"/>
      <c r="G46" s="127">
        <f t="shared" si="1"/>
        <v>5.7929824561403498</v>
      </c>
      <c r="H46" s="128">
        <f t="shared" si="2"/>
        <v>0.22807017543859648</v>
      </c>
      <c r="I46" s="129">
        <v>114</v>
      </c>
      <c r="J46" s="130">
        <f t="shared" si="9"/>
        <v>276.42105263157896</v>
      </c>
      <c r="K46" s="130">
        <f t="shared" si="4"/>
        <v>138.11538461538461</v>
      </c>
      <c r="L46" s="277"/>
      <c r="M46" s="137"/>
      <c r="N46" s="137"/>
      <c r="O46" s="137"/>
      <c r="P46" s="137"/>
      <c r="Q46" s="137"/>
      <c r="R46" s="277"/>
    </row>
    <row r="47" spans="1:18" x14ac:dyDescent="0.25">
      <c r="A47" s="127">
        <f t="shared" si="10"/>
        <v>10.006060606060606</v>
      </c>
      <c r="B47" s="128">
        <f t="shared" si="11"/>
        <v>0.39393939393939392</v>
      </c>
      <c r="C47" s="129">
        <v>66</v>
      </c>
      <c r="D47" s="130">
        <f t="shared" si="12"/>
        <v>477.45454545454544</v>
      </c>
      <c r="E47" s="130">
        <f t="shared" si="0"/>
        <v>79.961538461538467</v>
      </c>
      <c r="F47" s="277"/>
      <c r="G47" s="127">
        <f t="shared" si="1"/>
        <v>5.7426086956521738</v>
      </c>
      <c r="H47" s="128">
        <f t="shared" si="2"/>
        <v>0.22608695652173913</v>
      </c>
      <c r="I47" s="129">
        <v>115</v>
      </c>
      <c r="J47" s="130">
        <f t="shared" si="9"/>
        <v>274.01739130434783</v>
      </c>
      <c r="K47" s="130">
        <f t="shared" si="4"/>
        <v>139.32692307692307</v>
      </c>
      <c r="L47" s="277"/>
      <c r="M47" s="137"/>
      <c r="N47" s="137"/>
      <c r="O47" s="137"/>
      <c r="P47" s="137"/>
      <c r="Q47" s="137"/>
      <c r="R47" s="277"/>
    </row>
    <row r="48" spans="1:18" x14ac:dyDescent="0.25">
      <c r="A48" s="127">
        <f t="shared" si="10"/>
        <v>9.8567164179104481</v>
      </c>
      <c r="B48" s="128">
        <f t="shared" si="11"/>
        <v>0.38805970149253732</v>
      </c>
      <c r="C48" s="129">
        <v>67</v>
      </c>
      <c r="D48" s="130">
        <f t="shared" si="12"/>
        <v>470.32835820895525</v>
      </c>
      <c r="E48" s="130">
        <f t="shared" si="0"/>
        <v>81.17307692307692</v>
      </c>
      <c r="F48" s="277"/>
      <c r="G48" s="127">
        <f t="shared" si="1"/>
        <v>5.6931034482758616</v>
      </c>
      <c r="H48" s="128">
        <f t="shared" si="2"/>
        <v>0.22413793103448276</v>
      </c>
      <c r="I48" s="129">
        <v>116</v>
      </c>
      <c r="J48" s="130">
        <f t="shared" si="9"/>
        <v>271.65517241379308</v>
      </c>
      <c r="K48" s="130">
        <f t="shared" si="4"/>
        <v>140.53846153846155</v>
      </c>
      <c r="L48" s="277"/>
      <c r="M48" s="137"/>
      <c r="N48" s="137"/>
      <c r="O48" s="137"/>
      <c r="P48" s="137"/>
      <c r="Q48" s="137"/>
      <c r="R48" s="277"/>
    </row>
    <row r="49" spans="1:18" x14ac:dyDescent="0.25">
      <c r="A49" s="127">
        <f t="shared" si="10"/>
        <v>9.7117647058823522</v>
      </c>
      <c r="B49" s="128">
        <f t="shared" si="11"/>
        <v>0.38235294117647056</v>
      </c>
      <c r="C49" s="129">
        <v>68</v>
      </c>
      <c r="D49" s="130">
        <f t="shared" si="12"/>
        <v>463.41176470588232</v>
      </c>
      <c r="E49" s="130">
        <f t="shared" si="0"/>
        <v>82.384615384615387</v>
      </c>
      <c r="F49" s="277"/>
      <c r="G49" s="127">
        <f t="shared" si="1"/>
        <v>5.6444444444444439</v>
      </c>
      <c r="H49" s="128">
        <f t="shared" si="2"/>
        <v>0.22222222222222221</v>
      </c>
      <c r="I49" s="129">
        <v>117</v>
      </c>
      <c r="J49" s="130">
        <f t="shared" si="9"/>
        <v>269.33333333333331</v>
      </c>
      <c r="K49" s="130">
        <f t="shared" si="4"/>
        <v>141.75</v>
      </c>
      <c r="L49" s="277"/>
      <c r="M49" s="137"/>
      <c r="N49" s="137"/>
      <c r="O49" s="137"/>
      <c r="P49" s="137"/>
      <c r="Q49" s="137"/>
      <c r="R49" s="277"/>
    </row>
    <row r="50" spans="1:18" x14ac:dyDescent="0.25">
      <c r="A50" s="127">
        <f t="shared" si="10"/>
        <v>9.5710144927536227</v>
      </c>
      <c r="B50" s="128">
        <f t="shared" si="11"/>
        <v>0.37681159420289856</v>
      </c>
      <c r="C50" s="129">
        <v>69</v>
      </c>
      <c r="D50" s="130">
        <f t="shared" si="12"/>
        <v>456.69565217391306</v>
      </c>
      <c r="E50" s="130">
        <f t="shared" si="0"/>
        <v>83.59615384615384</v>
      </c>
      <c r="F50" s="277"/>
      <c r="G50" s="127">
        <f t="shared" si="1"/>
        <v>5.5966101694915249</v>
      </c>
      <c r="H50" s="128">
        <f t="shared" si="2"/>
        <v>0.22033898305084745</v>
      </c>
      <c r="I50" s="129">
        <v>118</v>
      </c>
      <c r="J50" s="130">
        <f t="shared" si="9"/>
        <v>267.05084745762713</v>
      </c>
      <c r="K50" s="130">
        <f t="shared" si="4"/>
        <v>142.96153846153845</v>
      </c>
      <c r="L50" s="277"/>
      <c r="M50" s="137"/>
      <c r="N50" s="137"/>
      <c r="O50" s="137"/>
      <c r="P50" s="137"/>
      <c r="Q50" s="137"/>
      <c r="R50" s="277"/>
    </row>
    <row r="51" spans="1:18" x14ac:dyDescent="0.25">
      <c r="A51" s="127">
        <f t="shared" si="10"/>
        <v>9.4342857142857142</v>
      </c>
      <c r="B51" s="128">
        <f t="shared" si="11"/>
        <v>0.37142857142857144</v>
      </c>
      <c r="C51" s="129">
        <v>70</v>
      </c>
      <c r="D51" s="130">
        <f t="shared" si="12"/>
        <v>450.17142857142858</v>
      </c>
      <c r="E51" s="130">
        <f t="shared" si="0"/>
        <v>84.807692307692307</v>
      </c>
      <c r="F51" s="277"/>
      <c r="G51" s="127">
        <f t="shared" si="1"/>
        <v>5.5495798319327729</v>
      </c>
      <c r="H51" s="128">
        <f t="shared" si="2"/>
        <v>0.21848739495798319</v>
      </c>
      <c r="I51" s="129">
        <v>119</v>
      </c>
      <c r="J51" s="130">
        <f t="shared" si="9"/>
        <v>264.80672268907563</v>
      </c>
      <c r="K51" s="130">
        <f t="shared" si="4"/>
        <v>144.17307692307693</v>
      </c>
      <c r="L51" s="277"/>
      <c r="M51" s="137"/>
      <c r="N51" s="137"/>
      <c r="O51" s="137"/>
      <c r="P51" s="137"/>
      <c r="Q51" s="137"/>
      <c r="R51" s="277"/>
    </row>
    <row r="52" spans="1:18" x14ac:dyDescent="0.25">
      <c r="A52" s="127">
        <f t="shared" si="10"/>
        <v>9.3014084507042245</v>
      </c>
      <c r="B52" s="128">
        <f t="shared" si="11"/>
        <v>0.36619718309859156</v>
      </c>
      <c r="C52" s="129">
        <v>71</v>
      </c>
      <c r="D52" s="130">
        <f t="shared" si="12"/>
        <v>443.83098591549299</v>
      </c>
      <c r="E52" s="130">
        <f t="shared" si="0"/>
        <v>86.019230769230759</v>
      </c>
      <c r="F52" s="277"/>
      <c r="G52" s="127">
        <f t="shared" si="1"/>
        <v>5.503333333333333</v>
      </c>
      <c r="H52" s="128">
        <f t="shared" si="2"/>
        <v>0.21666666666666667</v>
      </c>
      <c r="I52" s="129">
        <v>120</v>
      </c>
      <c r="J52" s="130">
        <f t="shared" si="9"/>
        <v>262.60000000000002</v>
      </c>
      <c r="K52" s="130">
        <f t="shared" si="4"/>
        <v>145.38461538461539</v>
      </c>
      <c r="L52" s="277"/>
      <c r="M52" s="137"/>
      <c r="N52" s="137"/>
      <c r="O52" s="137"/>
      <c r="P52" s="137"/>
      <c r="Q52" s="137"/>
      <c r="R52" s="277"/>
    </row>
    <row r="53" spans="1:18" x14ac:dyDescent="0.25">
      <c r="A53" s="127"/>
      <c r="B53" s="155"/>
      <c r="C53" s="136"/>
      <c r="D53" s="130"/>
      <c r="E53" s="130"/>
      <c r="F53" s="277"/>
      <c r="G53" s="127">
        <f>$A$7*H53</f>
        <v>5.457851239669421</v>
      </c>
      <c r="H53" s="128">
        <f>$C$7/I53</f>
        <v>0.21487603305785125</v>
      </c>
      <c r="I53" s="129">
        <v>121</v>
      </c>
      <c r="J53" s="130">
        <f>$D$7*H53</f>
        <v>260.42975206611573</v>
      </c>
      <c r="K53" s="130">
        <f>31.5/H53</f>
        <v>146.59615384615384</v>
      </c>
      <c r="L53" s="277"/>
      <c r="M53" s="137"/>
      <c r="N53" s="137"/>
      <c r="O53" s="137"/>
      <c r="P53" s="137"/>
      <c r="Q53" s="137"/>
      <c r="R53" s="277"/>
    </row>
  </sheetData>
  <sheetProtection algorithmName="SHA-512" hashValue="AoYZvP+IjeipFfvAORZ5tS0lPFRpAbL6fxe+v6nPXBBegFV8mh33WNtQIDYJ+h/IlgkIgDRbYqcVM8ZprE9BnQ==" saltValue="pJpLcDjoN5u1isOLJgJbTQ==" spinCount="100000" sheet="1" objects="1" scenarios="1" selectLockedCells="1"/>
  <mergeCells count="6">
    <mergeCell ref="R1:R53"/>
    <mergeCell ref="A1:E1"/>
    <mergeCell ref="G1:K1"/>
    <mergeCell ref="M1:Q1"/>
    <mergeCell ref="F1:F53"/>
    <mergeCell ref="L1:L53"/>
  </mergeCells>
  <printOptions horizontalCentered="1" verticalCentered="1"/>
  <pageMargins left="0.19685039370078741" right="0.19685039370078741" top="0.39370078740157483" bottom="0.19685039370078741" header="0.19685039370078741" footer="0.19685039370078741"/>
  <pageSetup paperSize="9" scale="86" orientation="portrait" r:id="rId1"/>
  <headerFooter>
    <oddHeader>&amp;L&amp;D&amp;CArchers Du Moulon&amp;R&amp;F</oddHeader>
    <oddFooter>&amp;LCyril ANDREINI&amp;C&amp;A&amp;RPage &amp;P/&amp;N</oddFooter>
  </headerFooter>
  <colBreaks count="2" manualBreakCount="2">
    <brk id="11" max="1048575" man="1"/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6E2E-3067-4D2D-8136-091D8443AA1B}">
  <sheetPr codeName="Feuil5"/>
  <dimension ref="A3:M32"/>
  <sheetViews>
    <sheetView showGridLines="0" showRowColHeaders="0" workbookViewId="0">
      <pane ySplit="1" topLeftCell="A2" activePane="bottomLeft" state="frozenSplit"/>
      <selection pane="bottomLeft" activeCell="J33" sqref="J33"/>
    </sheetView>
  </sheetViews>
  <sheetFormatPr baseColWidth="10" defaultRowHeight="12.75" x14ac:dyDescent="0.2"/>
  <cols>
    <col min="1" max="1" width="3.28515625" style="50" customWidth="1"/>
    <col min="2" max="2" width="15.85546875" style="149" customWidth="1"/>
    <col min="3" max="3" width="11.42578125" style="2"/>
    <col min="4" max="4" width="11.42578125" style="150"/>
    <col min="5" max="18" width="11.42578125" style="2"/>
    <col min="19" max="19" width="9.5703125" style="2" customWidth="1"/>
    <col min="20" max="16384" width="11.42578125" style="2"/>
  </cols>
  <sheetData>
    <row r="3" spans="2:13" ht="15" x14ac:dyDescent="0.25">
      <c r="B3"/>
    </row>
    <row r="4" spans="2:13" x14ac:dyDescent="0.2">
      <c r="L4" s="2" t="s">
        <v>137</v>
      </c>
    </row>
    <row r="5" spans="2:13" ht="15" customHeight="1" x14ac:dyDescent="0.2">
      <c r="L5" s="2" t="s">
        <v>139</v>
      </c>
      <c r="M5" s="2" t="s">
        <v>138</v>
      </c>
    </row>
    <row r="6" spans="2:13" ht="15" customHeight="1" x14ac:dyDescent="0.2"/>
    <row r="7" spans="2:13" ht="15" customHeight="1" x14ac:dyDescent="0.2"/>
    <row r="8" spans="2:13" ht="12.75" customHeight="1" x14ac:dyDescent="0.2">
      <c r="L8" s="2" t="s">
        <v>140</v>
      </c>
    </row>
    <row r="9" spans="2:13" ht="12.75" customHeight="1" x14ac:dyDescent="0.2">
      <c r="L9" s="2" t="s">
        <v>141</v>
      </c>
    </row>
    <row r="10" spans="2:13" x14ac:dyDescent="0.2">
      <c r="L10" s="2" t="s">
        <v>142</v>
      </c>
    </row>
    <row r="11" spans="2:13" x14ac:dyDescent="0.2">
      <c r="L11" s="2" t="s">
        <v>143</v>
      </c>
    </row>
    <row r="12" spans="2:13" x14ac:dyDescent="0.2">
      <c r="L12" s="2" t="s">
        <v>144</v>
      </c>
    </row>
    <row r="13" spans="2:13" x14ac:dyDescent="0.2">
      <c r="L13" s="2" t="s">
        <v>145</v>
      </c>
    </row>
    <row r="18" spans="1:12" ht="14.25" x14ac:dyDescent="0.2">
      <c r="B18" s="279" t="s">
        <v>124</v>
      </c>
      <c r="C18" s="281" t="s">
        <v>125</v>
      </c>
      <c r="D18" s="282"/>
      <c r="E18" s="282"/>
      <c r="F18" s="282"/>
      <c r="G18" s="283"/>
    </row>
    <row r="19" spans="1:12" ht="14.25" x14ac:dyDescent="0.2">
      <c r="B19" s="280"/>
      <c r="C19" s="198" t="s">
        <v>126</v>
      </c>
      <c r="D19" s="198">
        <v>8150</v>
      </c>
      <c r="E19" s="198" t="s">
        <v>127</v>
      </c>
      <c r="F19" s="198" t="s">
        <v>128</v>
      </c>
      <c r="G19" s="198" t="s">
        <v>129</v>
      </c>
    </row>
    <row r="20" spans="1:12" ht="14.25" x14ac:dyDescent="0.2">
      <c r="B20" s="198" t="s">
        <v>130</v>
      </c>
      <c r="C20" s="198">
        <v>8</v>
      </c>
      <c r="D20" s="198">
        <v>10</v>
      </c>
      <c r="E20" s="198">
        <v>12</v>
      </c>
      <c r="F20" s="198">
        <v>7</v>
      </c>
      <c r="G20" s="198">
        <v>10</v>
      </c>
    </row>
    <row r="21" spans="1:12" ht="14.25" x14ac:dyDescent="0.2">
      <c r="B21" s="198" t="s">
        <v>131</v>
      </c>
      <c r="C21" s="198">
        <v>10</v>
      </c>
      <c r="D21" s="198">
        <v>12</v>
      </c>
      <c r="E21" s="198">
        <v>14</v>
      </c>
      <c r="F21" s="198">
        <v>8</v>
      </c>
      <c r="G21" s="198">
        <v>12</v>
      </c>
    </row>
    <row r="22" spans="1:12" ht="14.25" x14ac:dyDescent="0.2">
      <c r="B22" s="198" t="s">
        <v>132</v>
      </c>
      <c r="C22" s="198">
        <v>12</v>
      </c>
      <c r="D22" s="198">
        <v>14</v>
      </c>
      <c r="E22" s="198">
        <v>16</v>
      </c>
      <c r="F22" s="198">
        <v>9</v>
      </c>
      <c r="G22" s="198">
        <v>14</v>
      </c>
    </row>
    <row r="23" spans="1:12" ht="14.25" x14ac:dyDescent="0.2">
      <c r="B23" s="198" t="s">
        <v>133</v>
      </c>
      <c r="C23" s="198">
        <v>14</v>
      </c>
      <c r="D23" s="198">
        <v>16</v>
      </c>
      <c r="E23" s="198">
        <v>18</v>
      </c>
      <c r="F23" s="198">
        <v>10</v>
      </c>
      <c r="G23" s="198">
        <v>16</v>
      </c>
    </row>
    <row r="24" spans="1:12" ht="15" x14ac:dyDescent="0.25">
      <c r="A24" s="199"/>
      <c r="B24"/>
      <c r="C24"/>
      <c r="D24"/>
      <c r="E24"/>
      <c r="F24"/>
    </row>
    <row r="25" spans="1:12" x14ac:dyDescent="0.2">
      <c r="L25" s="2" t="s">
        <v>146</v>
      </c>
    </row>
    <row r="27" spans="1:12" ht="15" x14ac:dyDescent="0.25">
      <c r="C27" t="s">
        <v>134</v>
      </c>
    </row>
    <row r="28" spans="1:12" x14ac:dyDescent="0.2">
      <c r="C28" s="284" t="s">
        <v>135</v>
      </c>
      <c r="D28" s="284"/>
    </row>
    <row r="29" spans="1:12" x14ac:dyDescent="0.2">
      <c r="C29" s="284"/>
      <c r="D29" s="284"/>
    </row>
    <row r="30" spans="1:12" x14ac:dyDescent="0.2">
      <c r="C30" s="284" t="s">
        <v>136</v>
      </c>
      <c r="D30" s="284"/>
    </row>
    <row r="31" spans="1:12" x14ac:dyDescent="0.2">
      <c r="C31" s="284"/>
      <c r="D31" s="284"/>
    </row>
    <row r="32" spans="1:12" x14ac:dyDescent="0.2">
      <c r="C32" s="284"/>
      <c r="D32" s="284"/>
    </row>
  </sheetData>
  <sheetProtection algorithmName="SHA-512" hashValue="mXrsWvNu84qeo64FoA8AUFIvbnbKLGeHGbAQ+54FqfkC5KpoRrfwZ3eAoqyav5dS6L+ZAbK57k2txGGeUV7mAw==" saltValue="HOIRtPIK+/e88NAraRFQ6g==" spinCount="100000" sheet="1" objects="1" scenarios="1" selectLockedCells="1"/>
  <mergeCells count="4">
    <mergeCell ref="B18:B19"/>
    <mergeCell ref="C18:G18"/>
    <mergeCell ref="C28:D29"/>
    <mergeCell ref="C30:D32"/>
  </mergeCells>
  <printOptions horizontalCentered="1" verticalCentered="1"/>
  <pageMargins left="0.39370078740157483" right="0.19685039370078741" top="0.39370078740157483" bottom="0.39370078740157483" header="0.19685039370078741" footer="0.19685039370078741"/>
  <pageSetup paperSize="9" orientation="landscape" r:id="rId1"/>
  <headerFooter>
    <oddHeader>&amp;L&amp;D&amp;CArchers Du Moulon&amp;R&amp;F</oddHeader>
    <oddFooter>&amp;LCyril ANDREINI&amp;C&amp;A&amp;RPage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Données</vt:lpstr>
      <vt:lpstr>Résultats</vt:lpstr>
      <vt:lpstr>Calcul poids flèche</vt:lpstr>
      <vt:lpstr>Spine</vt:lpstr>
      <vt:lpstr>Divers</vt:lpstr>
      <vt:lpstr>'Calcul poids flèche'!Zone_d_impression</vt:lpstr>
      <vt:lpstr>Données!Zone_d_impression</vt:lpstr>
      <vt:lpstr>Résultats!Zone_d_impression</vt:lpstr>
    </vt:vector>
  </TitlesOfParts>
  <Manager>Cyril ANDREINI</Manager>
  <Company>Archers Du moulon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 Flèches</dc:title>
  <dc:subject>Archers Du moulon - Calcul Flèches</dc:subject>
  <dc:creator>Yoda</dc:creator>
  <cp:keywords>Archers Du moulon - Calcul Flèches</cp:keywords>
  <dc:description>Cyril ANDREINI
Président du club des Archers Du moulon</dc:description>
  <cp:lastModifiedBy>Yoda</cp:lastModifiedBy>
  <cp:lastPrinted>2023-12-12T21:19:32Z</cp:lastPrinted>
  <dcterms:created xsi:type="dcterms:W3CDTF">2023-06-11T19:10:19Z</dcterms:created>
  <dcterms:modified xsi:type="dcterms:W3CDTF">2023-12-12T21:26:13Z</dcterms:modified>
  <cp:category>Calcul Flèche</cp:category>
</cp:coreProperties>
</file>